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0" yWindow="65371" windowWidth="11970" windowHeight="11250" tabRatio="538" activeTab="0"/>
  </bookViews>
  <sheets>
    <sheet name="Parameters" sheetId="1" r:id="rId1"/>
    <sheet name="Base" sheetId="2" r:id="rId2"/>
    <sheet name="HQ500" sheetId="3" r:id="rId3"/>
    <sheet name="HQ500Adj" sheetId="4" r:id="rId4"/>
    <sheet name="HQ500Adj100" sheetId="5" r:id="rId5"/>
    <sheet name="Hybrid" sheetId="6" r:id="rId6"/>
    <sheet name="HybridAdj" sheetId="7" r:id="rId7"/>
    <sheet name="HybridAdj100%" sheetId="8" r:id="rId8"/>
    <sheet name="Sheet1" sheetId="9" r:id="rId9"/>
  </sheets>
  <definedNames>
    <definedName name="_xlnm.Print_Area" localSheetId="1">'Base'!$A$1:$T$52</definedName>
  </definedNames>
  <calcPr fullCalcOnLoad="1"/>
</workbook>
</file>

<file path=xl/sharedStrings.xml><?xml version="1.0" encoding="utf-8"?>
<sst xmlns="http://schemas.openxmlformats.org/spreadsheetml/2006/main" count="480" uniqueCount="130">
  <si>
    <t>2003/04</t>
  </si>
  <si>
    <t>2008/09</t>
  </si>
  <si>
    <t>Long term firm</t>
  </si>
  <si>
    <t>Short term equivalent</t>
  </si>
  <si>
    <t>Total usage</t>
  </si>
  <si>
    <t>Network</t>
  </si>
  <si>
    <t>2015/16</t>
  </si>
  <si>
    <t>2050/51</t>
  </si>
  <si>
    <t>Revenue Requirement ($M)</t>
  </si>
  <si>
    <t>Usage (MW)</t>
  </si>
  <si>
    <t>Tariffs ($/kW-yr)</t>
  </si>
  <si>
    <t>4=1-2-3</t>
  </si>
  <si>
    <t>8=5+6+7</t>
  </si>
  <si>
    <t>9=4/8*1000</t>
  </si>
  <si>
    <t>Capital upgrades ($M)</t>
  </si>
  <si>
    <t>Project</t>
  </si>
  <si>
    <t>Base</t>
  </si>
  <si>
    <t>HQ/NS</t>
  </si>
  <si>
    <t>IPL/NRI</t>
  </si>
  <si>
    <t>Esc =</t>
  </si>
  <si>
    <t>NS Firm Reservation (MW)</t>
  </si>
  <si>
    <t>Annual charge</t>
  </si>
  <si>
    <t xml:space="preserve">2015 NPV </t>
  </si>
  <si>
    <t>NSPI Tariff Additions</t>
  </si>
  <si>
    <t>Total 2015 NPV cost</t>
  </si>
  <si>
    <t xml:space="preserve">Base 2003/04 Tariff data is taken from NB Utilities Board filings and decision </t>
  </si>
  <si>
    <t xml:space="preserve">2008/09 Tariff update applies data collected during assessment of NB/HQ sale proposal </t>
  </si>
  <si>
    <t xml:space="preserve">Future tariffs for 2015 and 2050 are projections from the known years plus capital upgrades </t>
  </si>
  <si>
    <t>Nominal</t>
  </si>
  <si>
    <t>NPV Total</t>
  </si>
  <si>
    <t>System Control (Sched 1)</t>
  </si>
  <si>
    <t>Voltage Control (Sched 2)</t>
  </si>
  <si>
    <t>Annual Base Tariff Cost</t>
  </si>
  <si>
    <t>Share of Upgrade Costs</t>
  </si>
  <si>
    <t>NPV Share</t>
  </si>
  <si>
    <t>NS Power</t>
  </si>
  <si>
    <t>NB Power</t>
  </si>
  <si>
    <t>Schedule 2 equal to payment to Genco of $5.6M  escalated at 2% and divided by Usage</t>
  </si>
  <si>
    <t>Other Tx Customer Costs</t>
  </si>
  <si>
    <t>Per 10 MW</t>
  </si>
  <si>
    <t>NS Direct</t>
  </si>
  <si>
    <t>Total Cost (NS#1+HQ#3)</t>
  </si>
  <si>
    <t>NS Tariff Share</t>
  </si>
  <si>
    <t>Net NB Tariff Cost</t>
  </si>
  <si>
    <t>Direct Assignment Charge</t>
  </si>
  <si>
    <t>NSPI Transmission Costs Under NB OATT</t>
  </si>
  <si>
    <t>Base Case  - No Upgrades to the NB System</t>
  </si>
  <si>
    <t>Total Reservations</t>
  </si>
  <si>
    <t xml:space="preserve">Uniform Escalation from 2015 </t>
  </si>
  <si>
    <t>Transmission Customer Costs ($M)</t>
  </si>
  <si>
    <t>Schedules 1 and 2 are compulsory services that must be added to the tariff charge</t>
  </si>
  <si>
    <t>Background</t>
  </si>
  <si>
    <t>Data Assumptions</t>
  </si>
  <si>
    <t>Tariff Methodology</t>
  </si>
  <si>
    <t>APPENDIX A</t>
  </si>
  <si>
    <t>NB Transmission Tariff Model</t>
  </si>
  <si>
    <t>Study Approach</t>
  </si>
  <si>
    <t>Cases for each supply alternative are  modelled to determine incremental cost above baseline</t>
  </si>
  <si>
    <t>Remaining cost of NB-NS upgrade plus NB-HQ upgrades allocated to NB Tariff</t>
  </si>
  <si>
    <t xml:space="preserve">Case HQ500 - 500 MW HQ to NS </t>
  </si>
  <si>
    <t>Case Hybrid - HQ 165MW plus NE 335MW</t>
  </si>
  <si>
    <t>Total Additional Cost vs Base</t>
  </si>
  <si>
    <t>Case Hybrid Adj - HQ 165MW plus NE 335MW with Direct Assignment Chg</t>
  </si>
  <si>
    <t>Total Tariff Recovery (35 yrs)</t>
  </si>
  <si>
    <t xml:space="preserve">The Tariff Model applies the Cost Allocation and Tariff methodolgy approved by the PUB in 2003 </t>
  </si>
  <si>
    <t>Schedule 1 Rev Reqmt beyond 2009 escalates at 2% as it is predominantly labour</t>
  </si>
  <si>
    <t>Discount rate for NPV is 6.0%</t>
  </si>
  <si>
    <t>Capital upgrades assumed to be financed 60/40 debt/equity with interest at 5% and ROE at 9.5%</t>
  </si>
  <si>
    <t xml:space="preserve">NB 12CP Load growth at 0.5% reflects aggressive DSM programs </t>
  </si>
  <si>
    <t>Tariff Annual charges</t>
  </si>
  <si>
    <t>2015 NPV Tariff Cost</t>
  </si>
  <si>
    <t>Nova Scotia Tariff costs ($M)</t>
  </si>
  <si>
    <t>Revenue Requirements ($M)</t>
  </si>
  <si>
    <t>Ancillary Services</t>
  </si>
  <si>
    <t>Transmission Service</t>
  </si>
  <si>
    <t>Transmission Service Rev Req</t>
  </si>
  <si>
    <t>Total Compulsory AS</t>
  </si>
  <si>
    <t>Tariff ($/kW-yr)</t>
  </si>
  <si>
    <t>3=1-2-Direct</t>
  </si>
  <si>
    <t>11=9*10/1000</t>
  </si>
  <si>
    <t>12=npv(11)</t>
  </si>
  <si>
    <t>End Effects Share</t>
  </si>
  <si>
    <t>Total 2015 NPV Cost</t>
  </si>
  <si>
    <t>Tariff End Effect (Year 35-45)</t>
  </si>
  <si>
    <r>
      <t>3=1-2-</t>
    </r>
    <r>
      <rPr>
        <i/>
        <sz val="8"/>
        <color indexed="8"/>
        <rFont val="Calibri"/>
        <family val="2"/>
      </rPr>
      <t>Direct</t>
    </r>
  </si>
  <si>
    <r>
      <t xml:space="preserve">4 </t>
    </r>
    <r>
      <rPr>
        <i/>
        <sz val="8"/>
        <color indexed="8"/>
        <rFont val="Calibri"/>
        <family val="2"/>
      </rPr>
      <t>(Note)</t>
    </r>
  </si>
  <si>
    <r>
      <t>15=3*10%*</t>
    </r>
    <r>
      <rPr>
        <i/>
        <sz val="8"/>
        <color indexed="8"/>
        <rFont val="Calibri"/>
        <family val="2"/>
      </rPr>
      <t>Share</t>
    </r>
  </si>
  <si>
    <t>16=12+13+14+15</t>
  </si>
  <si>
    <t>18=17*9/1000</t>
  </si>
  <si>
    <t>20=18-19</t>
  </si>
  <si>
    <t>21=npv(22)</t>
  </si>
  <si>
    <t>23=21+22</t>
  </si>
  <si>
    <t>22=3*10%*Share</t>
  </si>
  <si>
    <t>Total Cost Recovery</t>
  </si>
  <si>
    <t>25=16-15+21</t>
  </si>
  <si>
    <t>27=25+26</t>
  </si>
  <si>
    <t>26=3*10%</t>
  </si>
  <si>
    <t>14=2*125%</t>
  </si>
  <si>
    <t>3=1-2</t>
  </si>
  <si>
    <t>7=5+6</t>
  </si>
  <si>
    <t>11=8+9+10</t>
  </si>
  <si>
    <t>12=4/11*1000</t>
  </si>
  <si>
    <t>13=7/11*1000</t>
  </si>
  <si>
    <t>14=11</t>
  </si>
  <si>
    <t>15=14*12/1000</t>
  </si>
  <si>
    <t>16=npv(15)</t>
  </si>
  <si>
    <r>
      <t>13=</t>
    </r>
    <r>
      <rPr>
        <i/>
        <sz val="8"/>
        <color indexed="8"/>
        <rFont val="Calibri"/>
        <family val="2"/>
      </rPr>
      <t>Direct*125%</t>
    </r>
  </si>
  <si>
    <t xml:space="preserve">This accounts for O&amp;M costs and load growth additions </t>
  </si>
  <si>
    <t>The resulting Transmission Tariff escalates at 1% into the future</t>
  </si>
  <si>
    <t xml:space="preserve">$150M plus 25% for future O&amp;M and Tariff returns  allocated to NSPI for the NB-NS interface upgrade </t>
  </si>
  <si>
    <t>Rev Reqmt addition for capital upgrades added at 6.8% pretax project carry charge for 45 year life</t>
  </si>
  <si>
    <t>Base model is 35 years to match assumed contract term</t>
  </si>
  <si>
    <t xml:space="preserve">End effects recovery costs for  years 36 to 45 added as NPV adjustment equal to 10% of capital upgrade </t>
  </si>
  <si>
    <t xml:space="preserve">Total base revenue requirement each year is escalated at 1.28% </t>
  </si>
  <si>
    <t>Capital upgrade costs of supply alternatives are taken from Figure 3</t>
  </si>
  <si>
    <t xml:space="preserve">         End effects initially allocated 100% to NB Tariff</t>
  </si>
  <si>
    <t>Transmission Service Rev Req= Rev requirement allocated to Schedules 7 and 8 in the NB OATT</t>
  </si>
  <si>
    <t>Transmission Tariff = Transmission Service Revenue Requirement / Usage where</t>
  </si>
  <si>
    <t>Usage = NB 12 Month Coincident Peak Load plus Long Term and Equivalent Short Term  Reservations</t>
  </si>
  <si>
    <t>Capital upgrade costs are only recovered through the Transmission Service tariff (Sched 7 and 8)</t>
  </si>
  <si>
    <t>Compulsory Ancillary Services (Sched 1 and 2) determined in the Base Case are independent of</t>
  </si>
  <si>
    <t xml:space="preserve">       capital upgrades and must be considered separately from the Transmission Service tariff</t>
  </si>
  <si>
    <t>The Base Case is modelled to determine NB Transmission Customer costs with no transmission upgrades</t>
  </si>
  <si>
    <t>Case HQ500Adj - 500 MW HQ to NS with Direct Assignment</t>
  </si>
  <si>
    <t>Case HQ500Adj100% - 500 MW HQ to NS 100% Cost with Direct Assignment</t>
  </si>
  <si>
    <t>Case HybridAdj100% - HQ 165MW &amp; NE 335MW 100% Cost with Direct Assignmt</t>
  </si>
  <si>
    <t xml:space="preserve">Cases with "Adj100%" suffix include direct assignment/end effects costs for 100% NS Power cost allocation </t>
  </si>
  <si>
    <t>2049/50</t>
  </si>
  <si>
    <t xml:space="preserve">Cases HQ500 and Hybrid have NSPI paying the NS portion ($150M) and the tariff but no direct assignment.  </t>
  </si>
  <si>
    <t>Cases with "Adj" suffix include direct assignment/end effects based on "Least Cost sharing" (Figure 6)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</si>
</sst>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-* #,##0_-;\-* #,##0_-;_-* &quot;-&quot;??_-;_-@_-"/>
    <numFmt numFmtId="173" formatCode="0.000"/>
    <numFmt numFmtId="174" formatCode="0.0"/>
    <numFmt numFmtId="175" formatCode="0.0000"/>
    <numFmt numFmtId="176" formatCode="0.000%"/>
    <numFmt numFmtId="177" formatCode="0.00000"/>
    <numFmt numFmtId="178" formatCode="0.0%"/>
    <numFmt numFmtId="179" formatCode="[$-1009]mmmm\-dd\-yy"/>
    <numFmt numFmtId="180" formatCode="[$-409]h:mm:ss\ AM/PM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i/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b/>
      <sz val="11"/>
      <color indexed="10"/>
      <name val="Calibri"/>
      <family val="2"/>
    </font>
    <font>
      <b/>
      <sz val="14"/>
      <color indexed="8"/>
      <name val="Calibri"/>
      <family val="2"/>
    </font>
    <font>
      <i/>
      <u val="single"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10"/>
      <name val="Calibri"/>
      <family val="2"/>
    </font>
    <font>
      <i/>
      <u val="single"/>
      <sz val="10"/>
      <color indexed="8"/>
      <name val="Calibri"/>
      <family val="2"/>
    </font>
    <font>
      <sz val="10"/>
      <color indexed="10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b/>
      <sz val="11"/>
      <color rgb="FFFF0000"/>
      <name val="Calibri"/>
      <family val="2"/>
    </font>
    <font>
      <b/>
      <sz val="14"/>
      <color theme="1"/>
      <name val="Calibri"/>
      <family val="2"/>
    </font>
    <font>
      <i/>
      <u val="single"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rgb="FFFF0000"/>
      <name val="Calibri"/>
      <family val="2"/>
    </font>
    <font>
      <i/>
      <u val="single"/>
      <sz val="10"/>
      <color theme="1"/>
      <name val="Calibri"/>
      <family val="2"/>
    </font>
    <font>
      <sz val="10"/>
      <color rgb="FFFF0000"/>
      <name val="Calibri"/>
      <family val="2"/>
    </font>
    <font>
      <b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1" fillId="32" borderId="7" applyNumberFormat="0" applyFont="0" applyAlignment="0" applyProtection="0"/>
    <xf numFmtId="0" fontId="44" fillId="27" borderId="8" applyNumberFormat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Fill="1" applyBorder="1" applyAlignment="1">
      <alignment/>
    </xf>
    <xf numFmtId="1" fontId="0" fillId="0" borderId="0" xfId="0" applyNumberFormat="1" applyAlignment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1" fontId="0" fillId="0" borderId="10" xfId="0" applyNumberFormat="1" applyBorder="1" applyAlignment="1">
      <alignment/>
    </xf>
    <xf numFmtId="173" fontId="0" fillId="0" borderId="0" xfId="0" applyNumberFormat="1" applyAlignment="1">
      <alignment/>
    </xf>
    <xf numFmtId="2" fontId="0" fillId="0" borderId="0" xfId="0" applyNumberFormat="1" applyAlignment="1">
      <alignment/>
    </xf>
    <xf numFmtId="174" fontId="0" fillId="0" borderId="0" xfId="0" applyNumberFormat="1" applyAlignment="1">
      <alignment/>
    </xf>
    <xf numFmtId="17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10" fontId="0" fillId="0" borderId="0" xfId="0" applyNumberFormat="1" applyAlignment="1">
      <alignment/>
    </xf>
    <xf numFmtId="0" fontId="48" fillId="0" borderId="0" xfId="0" applyFont="1" applyAlignment="1">
      <alignment horizontal="center"/>
    </xf>
    <xf numFmtId="0" fontId="48" fillId="0" borderId="10" xfId="0" applyFont="1" applyBorder="1" applyAlignment="1">
      <alignment horizontal="center"/>
    </xf>
    <xf numFmtId="0" fontId="48" fillId="0" borderId="0" xfId="0" applyFont="1" applyFill="1" applyBorder="1" applyAlignment="1">
      <alignment horizontal="center"/>
    </xf>
    <xf numFmtId="0" fontId="0" fillId="0" borderId="0" xfId="0" applyAlignment="1" quotePrefix="1">
      <alignment/>
    </xf>
    <xf numFmtId="10" fontId="0" fillId="0" borderId="0" xfId="59" applyNumberFormat="1" applyFont="1" applyAlignment="1">
      <alignment/>
    </xf>
    <xf numFmtId="174" fontId="49" fillId="0" borderId="10" xfId="0" applyNumberFormat="1" applyFont="1" applyBorder="1" applyAlignment="1">
      <alignment/>
    </xf>
    <xf numFmtId="0" fontId="48" fillId="0" borderId="0" xfId="0" applyFont="1" applyBorder="1" applyAlignment="1">
      <alignment horizontal="center"/>
    </xf>
    <xf numFmtId="174" fontId="49" fillId="0" borderId="0" xfId="0" applyNumberFormat="1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 quotePrefix="1">
      <alignment/>
    </xf>
    <xf numFmtId="0" fontId="46" fillId="0" borderId="14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50" fillId="0" borderId="12" xfId="0" applyFont="1" applyBorder="1" applyAlignment="1">
      <alignment/>
    </xf>
    <xf numFmtId="0" fontId="50" fillId="0" borderId="0" xfId="0" applyFont="1" applyBorder="1" applyAlignment="1" quotePrefix="1">
      <alignment/>
    </xf>
    <xf numFmtId="0" fontId="0" fillId="0" borderId="0" xfId="0" applyBorder="1" applyAlignment="1">
      <alignment horizontal="center"/>
    </xf>
    <xf numFmtId="0" fontId="46" fillId="0" borderId="15" xfId="0" applyFont="1" applyBorder="1" applyAlignment="1">
      <alignment horizontal="center"/>
    </xf>
    <xf numFmtId="0" fontId="49" fillId="0" borderId="0" xfId="0" applyFont="1" applyBorder="1" applyAlignment="1">
      <alignment/>
    </xf>
    <xf numFmtId="0" fontId="49" fillId="0" borderId="17" xfId="0" applyFont="1" applyBorder="1" applyAlignment="1">
      <alignment/>
    </xf>
    <xf numFmtId="174" fontId="0" fillId="0" borderId="0" xfId="0" applyNumberFormat="1" applyBorder="1" applyAlignment="1">
      <alignment/>
    </xf>
    <xf numFmtId="0" fontId="48" fillId="0" borderId="0" xfId="0" applyFont="1" applyBorder="1" applyAlignment="1">
      <alignment/>
    </xf>
    <xf numFmtId="2" fontId="0" fillId="0" borderId="15" xfId="0" applyNumberFormat="1" applyBorder="1" applyAlignment="1">
      <alignment/>
    </xf>
    <xf numFmtId="2" fontId="0" fillId="0" borderId="0" xfId="0" applyNumberFormat="1" applyBorder="1" applyAlignment="1">
      <alignment/>
    </xf>
    <xf numFmtId="178" fontId="0" fillId="0" borderId="15" xfId="59" applyNumberFormat="1" applyFont="1" applyBorder="1" applyAlignment="1">
      <alignment/>
    </xf>
    <xf numFmtId="0" fontId="46" fillId="0" borderId="0" xfId="0" applyFont="1" applyBorder="1" applyAlignment="1">
      <alignment/>
    </xf>
    <xf numFmtId="9" fontId="0" fillId="0" borderId="0" xfId="59" applyFont="1" applyAlignment="1">
      <alignment/>
    </xf>
    <xf numFmtId="10" fontId="0" fillId="0" borderId="0" xfId="59" applyNumberFormat="1" applyFont="1" applyAlignment="1">
      <alignment/>
    </xf>
    <xf numFmtId="9" fontId="0" fillId="0" borderId="0" xfId="59" applyFont="1" applyBorder="1" applyAlignment="1">
      <alignment/>
    </xf>
    <xf numFmtId="0" fontId="0" fillId="0" borderId="10" xfId="0" applyFill="1" applyBorder="1" applyAlignment="1">
      <alignment/>
    </xf>
    <xf numFmtId="178" fontId="0" fillId="0" borderId="10" xfId="59" applyNumberFormat="1" applyFont="1" applyBorder="1" applyAlignment="1">
      <alignment/>
    </xf>
    <xf numFmtId="0" fontId="51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10" fontId="0" fillId="0" borderId="15" xfId="0" applyNumberFormat="1" applyBorder="1" applyAlignment="1">
      <alignment/>
    </xf>
    <xf numFmtId="0" fontId="48" fillId="0" borderId="10" xfId="0" applyFont="1" applyBorder="1" applyAlignment="1">
      <alignment/>
    </xf>
    <xf numFmtId="178" fontId="0" fillId="0" borderId="0" xfId="59" applyNumberFormat="1" applyFont="1" applyBorder="1" applyAlignment="1">
      <alignment/>
    </xf>
    <xf numFmtId="0" fontId="48" fillId="0" borderId="10" xfId="0" applyFont="1" applyFill="1" applyBorder="1" applyAlignment="1">
      <alignment horizontal="center"/>
    </xf>
    <xf numFmtId="174" fontId="49" fillId="0" borderId="0" xfId="0" applyNumberFormat="1" applyFont="1" applyAlignment="1">
      <alignment/>
    </xf>
    <xf numFmtId="176" fontId="0" fillId="0" borderId="15" xfId="0" applyNumberFormat="1" applyBorder="1" applyAlignment="1">
      <alignment/>
    </xf>
    <xf numFmtId="178" fontId="0" fillId="0" borderId="15" xfId="59" applyNumberFormat="1" applyFont="1" applyBorder="1" applyAlignment="1">
      <alignment/>
    </xf>
    <xf numFmtId="178" fontId="0" fillId="0" borderId="10" xfId="0" applyNumberFormat="1" applyBorder="1" applyAlignment="1">
      <alignment/>
    </xf>
    <xf numFmtId="10" fontId="0" fillId="0" borderId="15" xfId="59" applyNumberFormat="1" applyFont="1" applyBorder="1" applyAlignment="1">
      <alignment/>
    </xf>
    <xf numFmtId="176" fontId="0" fillId="0" borderId="0" xfId="59" applyNumberFormat="1" applyFont="1" applyAlignment="1">
      <alignment/>
    </xf>
    <xf numFmtId="174" fontId="49" fillId="0" borderId="17" xfId="0" applyNumberFormat="1" applyFont="1" applyBorder="1" applyAlignment="1">
      <alignment/>
    </xf>
    <xf numFmtId="0" fontId="52" fillId="0" borderId="0" xfId="0" applyFont="1" applyBorder="1" applyAlignment="1">
      <alignment/>
    </xf>
    <xf numFmtId="0" fontId="52" fillId="0" borderId="0" xfId="0" applyFont="1" applyBorder="1" applyAlignment="1" quotePrefix="1">
      <alignment/>
    </xf>
    <xf numFmtId="0" fontId="52" fillId="0" borderId="0" xfId="0" applyFont="1" applyFill="1" applyBorder="1" applyAlignment="1">
      <alignment/>
    </xf>
    <xf numFmtId="0" fontId="52" fillId="0" borderId="0" xfId="0" applyFont="1" applyAlignment="1">
      <alignment/>
    </xf>
    <xf numFmtId="0" fontId="52" fillId="33" borderId="0" xfId="0" applyFont="1" applyFill="1" applyBorder="1" applyAlignment="1" quotePrefix="1">
      <alignment/>
    </xf>
    <xf numFmtId="0" fontId="52" fillId="33" borderId="0" xfId="0" applyFont="1" applyFill="1" applyBorder="1" applyAlignment="1">
      <alignment/>
    </xf>
    <xf numFmtId="0" fontId="52" fillId="0" borderId="0" xfId="0" applyFont="1" applyFill="1" applyBorder="1" applyAlignment="1" quotePrefix="1">
      <alignment/>
    </xf>
    <xf numFmtId="0" fontId="52" fillId="0" borderId="10" xfId="0" applyFont="1" applyBorder="1" applyAlignment="1">
      <alignment/>
    </xf>
    <xf numFmtId="1" fontId="53" fillId="0" borderId="0" xfId="0" applyNumberFormat="1" applyFont="1" applyBorder="1" applyAlignment="1">
      <alignment/>
    </xf>
    <xf numFmtId="0" fontId="53" fillId="0" borderId="0" xfId="0" applyFont="1" applyBorder="1" applyAlignment="1">
      <alignment/>
    </xf>
    <xf numFmtId="0" fontId="53" fillId="0" borderId="0" xfId="0" applyFont="1" applyAlignment="1">
      <alignment/>
    </xf>
    <xf numFmtId="0" fontId="53" fillId="0" borderId="0" xfId="0" applyFont="1" applyAlignment="1" quotePrefix="1">
      <alignment/>
    </xf>
    <xf numFmtId="10" fontId="52" fillId="0" borderId="0" xfId="59" applyNumberFormat="1" applyFont="1" applyAlignment="1">
      <alignment/>
    </xf>
    <xf numFmtId="0" fontId="52" fillId="0" borderId="0" xfId="0" applyFont="1" applyAlignment="1">
      <alignment horizontal="center"/>
    </xf>
    <xf numFmtId="2" fontId="52" fillId="0" borderId="0" xfId="0" applyNumberFormat="1" applyFont="1" applyAlignment="1">
      <alignment/>
    </xf>
    <xf numFmtId="0" fontId="52" fillId="0" borderId="0" xfId="0" applyFont="1" applyBorder="1" applyAlignment="1">
      <alignment horizontal="center"/>
    </xf>
    <xf numFmtId="0" fontId="54" fillId="0" borderId="0" xfId="0" applyFont="1" applyBorder="1" applyAlignment="1">
      <alignment/>
    </xf>
    <xf numFmtId="0" fontId="52" fillId="0" borderId="10" xfId="0" applyFont="1" applyBorder="1" applyAlignment="1">
      <alignment horizontal="center"/>
    </xf>
    <xf numFmtId="0" fontId="54" fillId="0" borderId="0" xfId="0" applyFont="1" applyAlignment="1">
      <alignment/>
    </xf>
    <xf numFmtId="174" fontId="52" fillId="0" borderId="0" xfId="0" applyNumberFormat="1" applyFont="1" applyAlignment="1">
      <alignment/>
    </xf>
    <xf numFmtId="174" fontId="52" fillId="0" borderId="0" xfId="0" applyNumberFormat="1" applyFont="1" applyBorder="1" applyAlignment="1">
      <alignment/>
    </xf>
    <xf numFmtId="0" fontId="55" fillId="0" borderId="0" xfId="0" applyFont="1" applyAlignment="1">
      <alignment/>
    </xf>
    <xf numFmtId="174" fontId="52" fillId="0" borderId="10" xfId="0" applyNumberFormat="1" applyFont="1" applyBorder="1" applyAlignment="1">
      <alignment/>
    </xf>
    <xf numFmtId="1" fontId="52" fillId="0" borderId="0" xfId="0" applyNumberFormat="1" applyFont="1" applyAlignment="1">
      <alignment/>
    </xf>
    <xf numFmtId="0" fontId="52" fillId="0" borderId="0" xfId="0" applyFont="1" applyFill="1" applyBorder="1" applyAlignment="1">
      <alignment horizontal="center"/>
    </xf>
    <xf numFmtId="0" fontId="52" fillId="0" borderId="0" xfId="0" applyFont="1" applyAlignment="1" quotePrefix="1">
      <alignment horizontal="center"/>
    </xf>
    <xf numFmtId="0" fontId="56" fillId="0" borderId="0" xfId="0" applyFont="1" applyAlignment="1">
      <alignment/>
    </xf>
    <xf numFmtId="1" fontId="56" fillId="0" borderId="0" xfId="0" applyNumberFormat="1" applyFont="1" applyAlignment="1">
      <alignment/>
    </xf>
    <xf numFmtId="176" fontId="52" fillId="0" borderId="0" xfId="0" applyNumberFormat="1" applyFont="1" applyAlignment="1">
      <alignment/>
    </xf>
    <xf numFmtId="10" fontId="52" fillId="0" borderId="0" xfId="0" applyNumberFormat="1" applyFont="1" applyAlignment="1">
      <alignment/>
    </xf>
    <xf numFmtId="0" fontId="52" fillId="0" borderId="0" xfId="0" applyFont="1" applyAlignment="1" quotePrefix="1">
      <alignment/>
    </xf>
    <xf numFmtId="1" fontId="54" fillId="0" borderId="0" xfId="0" applyNumberFormat="1" applyFont="1" applyAlignment="1">
      <alignment/>
    </xf>
    <xf numFmtId="1" fontId="53" fillId="0" borderId="0" xfId="0" applyNumberFormat="1" applyFont="1" applyAlignment="1">
      <alignment/>
    </xf>
    <xf numFmtId="173" fontId="52" fillId="0" borderId="0" xfId="0" applyNumberFormat="1" applyFont="1" applyAlignment="1">
      <alignment/>
    </xf>
    <xf numFmtId="0" fontId="57" fillId="0" borderId="0" xfId="0" applyFont="1" applyBorder="1" applyAlignment="1">
      <alignment horizontal="center"/>
    </xf>
    <xf numFmtId="0" fontId="50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4"/>
  <sheetViews>
    <sheetView tabSelected="1" zoomScalePageLayoutView="0" workbookViewId="0" topLeftCell="A1">
      <selection activeCell="L30" sqref="L30"/>
    </sheetView>
  </sheetViews>
  <sheetFormatPr defaultColWidth="9.140625" defaultRowHeight="15"/>
  <cols>
    <col min="1" max="1" width="4.57421875" style="0" customWidth="1"/>
    <col min="2" max="8" width="9.140625" style="0" customWidth="1"/>
    <col min="9" max="9" width="17.28125" style="0" customWidth="1"/>
  </cols>
  <sheetData>
    <row r="1" spans="1:10" ht="21">
      <c r="A1" s="4"/>
      <c r="B1" s="94" t="s">
        <v>54</v>
      </c>
      <c r="C1" s="94"/>
      <c r="D1" s="94"/>
      <c r="E1" s="94"/>
      <c r="F1" s="94"/>
      <c r="G1" s="94"/>
      <c r="H1" s="94"/>
      <c r="I1" s="94"/>
      <c r="J1" s="4"/>
    </row>
    <row r="2" spans="1:10" ht="18.75">
      <c r="A2" s="4"/>
      <c r="B2" s="95" t="s">
        <v>55</v>
      </c>
      <c r="C2" s="95"/>
      <c r="D2" s="95"/>
      <c r="E2" s="95"/>
      <c r="F2" s="95"/>
      <c r="G2" s="95"/>
      <c r="H2" s="95"/>
      <c r="I2" s="95"/>
      <c r="J2" s="4"/>
    </row>
    <row r="3" spans="1:10" ht="15">
      <c r="A3" s="4"/>
      <c r="B3" s="4"/>
      <c r="C3" s="4"/>
      <c r="D3" s="4"/>
      <c r="E3" s="4"/>
      <c r="F3" s="4"/>
      <c r="G3" s="4"/>
      <c r="H3" s="4"/>
      <c r="I3" s="4"/>
      <c r="J3" s="4"/>
    </row>
    <row r="4" spans="1:10" ht="15">
      <c r="A4" s="68" t="s">
        <v>51</v>
      </c>
      <c r="B4" s="60"/>
      <c r="C4" s="60"/>
      <c r="D4" s="60"/>
      <c r="E4" s="60"/>
      <c r="F4" s="60"/>
      <c r="G4" s="60"/>
      <c r="H4" s="60"/>
      <c r="I4" s="60"/>
      <c r="J4" s="4"/>
    </row>
    <row r="5" spans="1:10" ht="15">
      <c r="A5" s="60" t="s">
        <v>64</v>
      </c>
      <c r="B5" s="60"/>
      <c r="C5" s="60"/>
      <c r="D5" s="60"/>
      <c r="E5" s="60"/>
      <c r="F5" s="60"/>
      <c r="G5" s="60"/>
      <c r="H5" s="60"/>
      <c r="I5" s="60"/>
      <c r="J5" s="4"/>
    </row>
    <row r="6" spans="1:10" ht="15">
      <c r="A6" s="60" t="s">
        <v>25</v>
      </c>
      <c r="B6" s="60"/>
      <c r="C6" s="60"/>
      <c r="D6" s="60"/>
      <c r="E6" s="60"/>
      <c r="F6" s="60"/>
      <c r="G6" s="60"/>
      <c r="H6" s="60"/>
      <c r="I6" s="60"/>
      <c r="J6" s="4"/>
    </row>
    <row r="7" spans="1:10" ht="15">
      <c r="A7" s="61" t="s">
        <v>26</v>
      </c>
      <c r="B7" s="60"/>
      <c r="C7" s="60"/>
      <c r="D7" s="60"/>
      <c r="E7" s="60"/>
      <c r="F7" s="60"/>
      <c r="G7" s="60"/>
      <c r="H7" s="60"/>
      <c r="I7" s="60"/>
      <c r="J7" s="4"/>
    </row>
    <row r="8" spans="1:10" ht="15">
      <c r="A8" s="60" t="s">
        <v>27</v>
      </c>
      <c r="B8" s="60"/>
      <c r="C8" s="60"/>
      <c r="D8" s="60"/>
      <c r="E8" s="60"/>
      <c r="F8" s="60"/>
      <c r="G8" s="60"/>
      <c r="H8" s="60"/>
      <c r="I8" s="60"/>
      <c r="J8" s="4"/>
    </row>
    <row r="9" spans="1:10" ht="15">
      <c r="A9" s="60"/>
      <c r="B9" s="60"/>
      <c r="C9" s="60"/>
      <c r="D9" s="60"/>
      <c r="E9" s="60"/>
      <c r="F9" s="60"/>
      <c r="G9" s="60"/>
      <c r="H9" s="60"/>
      <c r="I9" s="60"/>
      <c r="J9" s="4"/>
    </row>
    <row r="10" spans="1:10" ht="15">
      <c r="A10" s="68" t="s">
        <v>53</v>
      </c>
      <c r="B10" s="60"/>
      <c r="C10" s="60"/>
      <c r="D10" s="60"/>
      <c r="E10" s="60"/>
      <c r="F10" s="60"/>
      <c r="G10" s="60"/>
      <c r="H10" s="60"/>
      <c r="I10" s="60"/>
      <c r="J10" s="4"/>
    </row>
    <row r="11" spans="1:10" ht="15">
      <c r="A11" s="60" t="s">
        <v>117</v>
      </c>
      <c r="B11" s="60"/>
      <c r="C11" s="60"/>
      <c r="D11" s="60"/>
      <c r="E11" s="60"/>
      <c r="F11" s="60"/>
      <c r="G11" s="60"/>
      <c r="H11" s="60"/>
      <c r="I11" s="60"/>
      <c r="J11" s="4"/>
    </row>
    <row r="12" spans="1:10" ht="15">
      <c r="A12" s="60"/>
      <c r="B12" s="60" t="s">
        <v>116</v>
      </c>
      <c r="C12" s="60"/>
      <c r="D12" s="60"/>
      <c r="E12" s="60"/>
      <c r="F12" s="60"/>
      <c r="G12" s="60"/>
      <c r="H12" s="60"/>
      <c r="I12" s="60"/>
      <c r="J12" s="4"/>
    </row>
    <row r="13" spans="1:10" ht="15">
      <c r="A13" s="60"/>
      <c r="B13" s="60" t="s">
        <v>118</v>
      </c>
      <c r="C13" s="60"/>
      <c r="D13" s="60"/>
      <c r="E13" s="60"/>
      <c r="F13" s="60"/>
      <c r="G13" s="60"/>
      <c r="H13" s="60"/>
      <c r="I13" s="60"/>
      <c r="J13" s="4"/>
    </row>
    <row r="14" spans="1:10" ht="15">
      <c r="A14" s="60" t="s">
        <v>50</v>
      </c>
      <c r="B14" s="60"/>
      <c r="C14" s="60"/>
      <c r="D14" s="60"/>
      <c r="E14" s="60"/>
      <c r="F14" s="60"/>
      <c r="G14" s="60"/>
      <c r="H14" s="60"/>
      <c r="I14" s="60"/>
      <c r="J14" s="4"/>
    </row>
    <row r="15" spans="1:10" ht="15">
      <c r="A15" s="60"/>
      <c r="B15" s="60" t="s">
        <v>65</v>
      </c>
      <c r="C15" s="60"/>
      <c r="D15" s="60"/>
      <c r="E15" s="60"/>
      <c r="F15" s="60"/>
      <c r="G15" s="60"/>
      <c r="H15" s="60"/>
      <c r="I15" s="60"/>
      <c r="J15" s="4"/>
    </row>
    <row r="16" spans="1:10" ht="15">
      <c r="A16" s="60"/>
      <c r="B16" s="60" t="s">
        <v>37</v>
      </c>
      <c r="C16" s="60"/>
      <c r="D16" s="60"/>
      <c r="E16" s="60"/>
      <c r="F16" s="60"/>
      <c r="G16" s="60"/>
      <c r="H16" s="60"/>
      <c r="I16" s="60"/>
      <c r="J16" s="4"/>
    </row>
    <row r="17" spans="1:10" ht="15">
      <c r="A17" s="60"/>
      <c r="B17" s="60"/>
      <c r="C17" s="60"/>
      <c r="D17" s="60"/>
      <c r="E17" s="60"/>
      <c r="F17" s="60"/>
      <c r="G17" s="60"/>
      <c r="H17" s="60"/>
      <c r="I17" s="60"/>
      <c r="J17" s="4"/>
    </row>
    <row r="18" spans="1:10" ht="15">
      <c r="A18" s="68" t="s">
        <v>52</v>
      </c>
      <c r="B18" s="60"/>
      <c r="C18" s="60"/>
      <c r="D18" s="60"/>
      <c r="E18" s="60"/>
      <c r="F18" s="60"/>
      <c r="G18" s="60"/>
      <c r="H18" s="60"/>
      <c r="I18" s="60"/>
      <c r="J18" s="4"/>
    </row>
    <row r="19" spans="1:14" ht="15">
      <c r="A19" s="60" t="s">
        <v>113</v>
      </c>
      <c r="B19" s="60"/>
      <c r="C19" s="60"/>
      <c r="D19" s="60"/>
      <c r="E19" s="60"/>
      <c r="F19" s="60"/>
      <c r="G19" s="60"/>
      <c r="H19" s="60"/>
      <c r="I19" s="60"/>
      <c r="J19" s="4"/>
      <c r="N19" s="8"/>
    </row>
    <row r="20" spans="1:14" ht="15">
      <c r="A20" s="60"/>
      <c r="B20" s="60" t="s">
        <v>107</v>
      </c>
      <c r="C20" s="60"/>
      <c r="D20" s="60"/>
      <c r="E20" s="60"/>
      <c r="F20" s="60"/>
      <c r="G20" s="60"/>
      <c r="H20" s="60"/>
      <c r="I20" s="60"/>
      <c r="J20" s="4"/>
      <c r="N20" s="8"/>
    </row>
    <row r="21" spans="1:14" ht="15">
      <c r="A21" s="60"/>
      <c r="B21" s="60" t="s">
        <v>108</v>
      </c>
      <c r="C21" s="60"/>
      <c r="D21" s="60"/>
      <c r="E21" s="60"/>
      <c r="F21" s="60"/>
      <c r="G21" s="60"/>
      <c r="H21" s="60"/>
      <c r="I21" s="60"/>
      <c r="J21" s="4"/>
      <c r="N21" s="8"/>
    </row>
    <row r="22" spans="1:14" ht="15">
      <c r="A22" s="60" t="s">
        <v>114</v>
      </c>
      <c r="B22" s="60"/>
      <c r="C22" s="60"/>
      <c r="D22" s="60"/>
      <c r="E22" s="60"/>
      <c r="F22" s="60"/>
      <c r="G22" s="60"/>
      <c r="H22" s="60"/>
      <c r="I22" s="60"/>
      <c r="J22" s="4"/>
      <c r="N22" s="8"/>
    </row>
    <row r="23" spans="1:14" ht="15">
      <c r="A23" s="60" t="s">
        <v>67</v>
      </c>
      <c r="B23" s="60"/>
      <c r="C23" s="60"/>
      <c r="D23" s="60"/>
      <c r="E23" s="60"/>
      <c r="F23" s="60"/>
      <c r="G23" s="60"/>
      <c r="H23" s="60"/>
      <c r="I23" s="60"/>
      <c r="J23" s="4"/>
      <c r="N23" s="8"/>
    </row>
    <row r="24" spans="1:14" ht="15">
      <c r="A24" s="60"/>
      <c r="B24" s="60" t="s">
        <v>110</v>
      </c>
      <c r="C24" s="60"/>
      <c r="D24" s="60"/>
      <c r="E24" s="60"/>
      <c r="F24" s="60"/>
      <c r="G24" s="60"/>
      <c r="H24" s="60"/>
      <c r="I24" s="60"/>
      <c r="J24" s="4"/>
      <c r="N24" s="8"/>
    </row>
    <row r="25" spans="1:14" ht="15">
      <c r="A25" s="62" t="s">
        <v>68</v>
      </c>
      <c r="B25" s="60"/>
      <c r="C25" s="60"/>
      <c r="D25" s="60"/>
      <c r="E25" s="60"/>
      <c r="F25" s="60"/>
      <c r="G25" s="60"/>
      <c r="H25" s="60"/>
      <c r="I25" s="60"/>
      <c r="J25" s="4"/>
      <c r="N25" s="8"/>
    </row>
    <row r="26" spans="1:10" ht="15">
      <c r="A26" s="60" t="s">
        <v>66</v>
      </c>
      <c r="B26" s="60"/>
      <c r="C26" s="60"/>
      <c r="D26" s="60"/>
      <c r="E26" s="60"/>
      <c r="F26" s="60"/>
      <c r="G26" s="60"/>
      <c r="H26" s="60"/>
      <c r="I26" s="60"/>
      <c r="J26" s="4"/>
    </row>
    <row r="27" spans="1:10" ht="15">
      <c r="A27" s="60"/>
      <c r="B27" s="60"/>
      <c r="C27" s="60"/>
      <c r="D27" s="60"/>
      <c r="E27" s="60"/>
      <c r="F27" s="60"/>
      <c r="G27" s="60"/>
      <c r="H27" s="60"/>
      <c r="I27" s="60"/>
      <c r="J27" s="4"/>
    </row>
    <row r="28" spans="1:10" ht="15">
      <c r="A28" s="69" t="s">
        <v>56</v>
      </c>
      <c r="B28" s="60"/>
      <c r="C28" s="60"/>
      <c r="D28" s="60"/>
      <c r="E28" s="60"/>
      <c r="F28" s="60"/>
      <c r="G28" s="60"/>
      <c r="H28" s="60"/>
      <c r="I28" s="60"/>
      <c r="J28" s="4"/>
    </row>
    <row r="29" spans="1:13" ht="15">
      <c r="A29" s="60" t="s">
        <v>122</v>
      </c>
      <c r="B29" s="60"/>
      <c r="C29" s="60"/>
      <c r="D29" s="60"/>
      <c r="E29" s="60"/>
      <c r="F29" s="60"/>
      <c r="G29" s="60"/>
      <c r="H29" s="60"/>
      <c r="I29" s="60"/>
      <c r="J29" s="4"/>
      <c r="K29" s="4"/>
      <c r="M29" s="4"/>
    </row>
    <row r="30" spans="1:11" ht="15">
      <c r="A30" s="60"/>
      <c r="B30" s="60" t="s">
        <v>120</v>
      </c>
      <c r="C30" s="60"/>
      <c r="D30" s="60"/>
      <c r="E30" s="60"/>
      <c r="F30" s="60"/>
      <c r="G30" s="60"/>
      <c r="H30" s="60"/>
      <c r="I30" s="60"/>
      <c r="J30" s="4"/>
      <c r="K30" s="4"/>
    </row>
    <row r="31" spans="1:11" ht="15">
      <c r="A31" s="60"/>
      <c r="B31" s="60" t="s">
        <v>121</v>
      </c>
      <c r="C31" s="60"/>
      <c r="D31" s="60"/>
      <c r="E31" s="60"/>
      <c r="F31" s="60"/>
      <c r="G31" s="60"/>
      <c r="H31" s="60"/>
      <c r="I31" s="60"/>
      <c r="J31" s="4"/>
      <c r="K31" s="4"/>
    </row>
    <row r="32" spans="1:10" ht="15">
      <c r="A32" s="60" t="s">
        <v>119</v>
      </c>
      <c r="B32" s="60"/>
      <c r="C32" s="60"/>
      <c r="D32" s="60"/>
      <c r="E32" s="60"/>
      <c r="F32" s="60"/>
      <c r="G32" s="60"/>
      <c r="H32" s="60"/>
      <c r="I32" s="60"/>
      <c r="J32" s="4"/>
    </row>
    <row r="33" spans="1:10" ht="15">
      <c r="A33" s="60" t="s">
        <v>57</v>
      </c>
      <c r="B33" s="60"/>
      <c r="C33" s="60"/>
      <c r="D33" s="60"/>
      <c r="E33" s="60"/>
      <c r="F33" s="60"/>
      <c r="G33" s="60"/>
      <c r="H33" s="60"/>
      <c r="I33" s="60"/>
      <c r="J33" s="4"/>
    </row>
    <row r="34" spans="1:10" ht="15">
      <c r="A34" s="60"/>
      <c r="B34" s="64" t="s">
        <v>109</v>
      </c>
      <c r="C34" s="65"/>
      <c r="D34" s="65"/>
      <c r="E34" s="65"/>
      <c r="F34" s="65"/>
      <c r="G34" s="60"/>
      <c r="H34" s="60"/>
      <c r="I34" s="60"/>
      <c r="J34" s="4"/>
    </row>
    <row r="35" spans="1:10" ht="15">
      <c r="A35" s="60"/>
      <c r="B35" s="61" t="s">
        <v>58</v>
      </c>
      <c r="C35" s="60"/>
      <c r="D35" s="60"/>
      <c r="E35" s="60"/>
      <c r="F35" s="60"/>
      <c r="G35" s="60"/>
      <c r="H35" s="60"/>
      <c r="I35" s="60"/>
      <c r="J35" s="4"/>
    </row>
    <row r="36" spans="1:10" ht="15">
      <c r="A36" s="60"/>
      <c r="B36" s="61" t="s">
        <v>111</v>
      </c>
      <c r="C36" s="60"/>
      <c r="D36" s="60"/>
      <c r="E36" s="60"/>
      <c r="F36" s="60"/>
      <c r="G36" s="60"/>
      <c r="H36" s="60"/>
      <c r="I36" s="60"/>
      <c r="J36" s="4"/>
    </row>
    <row r="37" spans="1:10" ht="15">
      <c r="A37" s="60"/>
      <c r="B37" s="61" t="s">
        <v>112</v>
      </c>
      <c r="C37" s="60"/>
      <c r="D37" s="60"/>
      <c r="E37" s="60"/>
      <c r="F37" s="60"/>
      <c r="G37" s="60"/>
      <c r="H37" s="60"/>
      <c r="I37" s="60"/>
      <c r="J37" s="4"/>
    </row>
    <row r="38" spans="1:10" ht="15">
      <c r="A38" s="60"/>
      <c r="B38" s="66" t="s">
        <v>115</v>
      </c>
      <c r="C38" s="60"/>
      <c r="D38" s="60"/>
      <c r="E38" s="60"/>
      <c r="F38" s="60"/>
      <c r="G38" s="60"/>
      <c r="H38" s="60"/>
      <c r="I38" s="60"/>
      <c r="J38" s="4"/>
    </row>
    <row r="39" spans="1:10" ht="15">
      <c r="A39" s="60" t="s">
        <v>128</v>
      </c>
      <c r="B39" s="60"/>
      <c r="C39" s="60"/>
      <c r="D39" s="60"/>
      <c r="E39" s="60"/>
      <c r="F39" s="60"/>
      <c r="G39" s="60"/>
      <c r="H39" s="60"/>
      <c r="I39" s="60"/>
      <c r="J39" s="4"/>
    </row>
    <row r="40" spans="1:10" ht="15">
      <c r="A40" s="60" t="s">
        <v>129</v>
      </c>
      <c r="B40" s="60"/>
      <c r="C40" s="60"/>
      <c r="D40" s="60"/>
      <c r="E40" s="60"/>
      <c r="F40" s="60"/>
      <c r="G40" s="60"/>
      <c r="H40" s="60"/>
      <c r="I40" s="60"/>
      <c r="J40" s="4"/>
    </row>
    <row r="41" spans="1:10" ht="15">
      <c r="A41" s="60" t="s">
        <v>126</v>
      </c>
      <c r="B41" s="60"/>
      <c r="C41" s="60"/>
      <c r="D41" s="60"/>
      <c r="E41" s="60"/>
      <c r="F41" s="60"/>
      <c r="G41" s="60"/>
      <c r="H41" s="60"/>
      <c r="I41" s="60"/>
      <c r="J41" s="4"/>
    </row>
    <row r="42" spans="1:10" ht="15">
      <c r="A42" s="60"/>
      <c r="B42" s="60"/>
      <c r="C42" s="60"/>
      <c r="D42" s="60"/>
      <c r="E42" s="60"/>
      <c r="F42" s="60"/>
      <c r="G42" s="60"/>
      <c r="H42" s="60"/>
      <c r="I42" s="60"/>
      <c r="J42" s="4"/>
    </row>
    <row r="43" spans="1:9" ht="15">
      <c r="A43" s="63"/>
      <c r="B43" s="63"/>
      <c r="C43" s="63"/>
      <c r="D43" s="63"/>
      <c r="E43" s="63"/>
      <c r="F43" s="63"/>
      <c r="G43" s="63"/>
      <c r="H43" s="63"/>
      <c r="I43" s="63"/>
    </row>
    <row r="44" spans="1:10" ht="15">
      <c r="A44" s="62"/>
      <c r="B44" s="62"/>
      <c r="C44" s="62"/>
      <c r="D44" s="62"/>
      <c r="E44" s="62"/>
      <c r="F44" s="62"/>
      <c r="G44" s="62"/>
      <c r="H44" s="62"/>
      <c r="I44" s="62"/>
      <c r="J44" s="2"/>
    </row>
    <row r="45" spans="1:10" ht="15">
      <c r="A45" s="62"/>
      <c r="B45" s="62"/>
      <c r="C45" s="62"/>
      <c r="D45" s="62"/>
      <c r="E45" s="62"/>
      <c r="F45" s="62"/>
      <c r="G45" s="62"/>
      <c r="H45" s="62"/>
      <c r="I45" s="62"/>
      <c r="J45" s="2"/>
    </row>
    <row r="46" spans="1:10" ht="15">
      <c r="A46" s="62"/>
      <c r="B46" s="62"/>
      <c r="C46" s="62"/>
      <c r="D46" s="62"/>
      <c r="E46" s="62"/>
      <c r="F46" s="62"/>
      <c r="G46" s="62"/>
      <c r="H46" s="62"/>
      <c r="I46" s="62"/>
      <c r="J46" s="2"/>
    </row>
    <row r="47" spans="1:10" ht="15">
      <c r="A47" s="62"/>
      <c r="B47" s="62"/>
      <c r="C47" s="62"/>
      <c r="D47" s="62"/>
      <c r="E47" s="62"/>
      <c r="F47" s="62"/>
      <c r="G47" s="62"/>
      <c r="H47" s="62"/>
      <c r="I47" s="62"/>
      <c r="J47" s="2"/>
    </row>
    <row r="48" spans="1:10" ht="15">
      <c r="A48" s="62"/>
      <c r="B48" s="62"/>
      <c r="C48" s="62"/>
      <c r="D48" s="62"/>
      <c r="E48" s="62"/>
      <c r="F48" s="62"/>
      <c r="G48" s="62"/>
      <c r="H48" s="62"/>
      <c r="I48" s="62"/>
      <c r="J48" s="2"/>
    </row>
    <row r="49" spans="1:10" ht="15">
      <c r="A49" s="62"/>
      <c r="B49" s="62"/>
      <c r="C49" s="62"/>
      <c r="D49" s="62"/>
      <c r="E49" s="62"/>
      <c r="F49" s="62"/>
      <c r="G49" s="62"/>
      <c r="H49" s="62"/>
      <c r="I49" s="62"/>
      <c r="J49" s="2"/>
    </row>
    <row r="50" spans="1:10" ht="15">
      <c r="A50" s="62"/>
      <c r="B50" s="62"/>
      <c r="C50" s="62"/>
      <c r="D50" s="62"/>
      <c r="E50" s="62"/>
      <c r="F50" s="62"/>
      <c r="G50" s="62"/>
      <c r="H50" s="62"/>
      <c r="I50" s="62"/>
      <c r="J50" s="2"/>
    </row>
    <row r="51" spans="1:10" ht="15">
      <c r="A51" s="62"/>
      <c r="B51" s="62"/>
      <c r="C51" s="62"/>
      <c r="D51" s="62"/>
      <c r="E51" s="62"/>
      <c r="F51" s="62"/>
      <c r="G51" s="62"/>
      <c r="H51" s="62"/>
      <c r="I51" s="62"/>
      <c r="J51" s="2"/>
    </row>
    <row r="52" spans="1:10" ht="15">
      <c r="A52" s="62"/>
      <c r="B52" s="62"/>
      <c r="C52" s="62"/>
      <c r="D52" s="62"/>
      <c r="E52" s="62"/>
      <c r="F52" s="62"/>
      <c r="G52" s="62"/>
      <c r="H52" s="62"/>
      <c r="I52" s="62"/>
      <c r="J52" s="2"/>
    </row>
    <row r="53" spans="1:10" ht="15">
      <c r="A53" s="62"/>
      <c r="B53" s="62"/>
      <c r="C53" s="62"/>
      <c r="D53" s="62"/>
      <c r="E53" s="62"/>
      <c r="F53" s="62"/>
      <c r="G53" s="62"/>
      <c r="H53" s="62"/>
      <c r="I53" s="62"/>
      <c r="J53" s="2"/>
    </row>
    <row r="54" spans="1:10" ht="15">
      <c r="A54" s="62"/>
      <c r="B54" s="62"/>
      <c r="C54" s="62"/>
      <c r="D54" s="62"/>
      <c r="E54" s="62"/>
      <c r="F54" s="62"/>
      <c r="G54" s="62"/>
      <c r="H54" s="62"/>
      <c r="I54" s="62"/>
      <c r="J54" s="2"/>
    </row>
    <row r="55" spans="1:10" ht="15">
      <c r="A55" s="62"/>
      <c r="B55" s="62"/>
      <c r="C55" s="62"/>
      <c r="D55" s="62"/>
      <c r="E55" s="62"/>
      <c r="F55" s="62"/>
      <c r="G55" s="62"/>
      <c r="H55" s="62"/>
      <c r="I55" s="62"/>
      <c r="J55" s="2"/>
    </row>
    <row r="56" spans="1:10" ht="15">
      <c r="A56" s="62"/>
      <c r="B56" s="62"/>
      <c r="C56" s="62"/>
      <c r="D56" s="62"/>
      <c r="E56" s="62"/>
      <c r="F56" s="62"/>
      <c r="G56" s="62"/>
      <c r="H56" s="62"/>
      <c r="I56" s="62"/>
      <c r="J56" s="2"/>
    </row>
    <row r="57" spans="1:10" ht="15">
      <c r="A57" s="62"/>
      <c r="B57" s="62"/>
      <c r="C57" s="62"/>
      <c r="D57" s="62"/>
      <c r="E57" s="62"/>
      <c r="F57" s="62"/>
      <c r="G57" s="62"/>
      <c r="H57" s="62"/>
      <c r="I57" s="62"/>
      <c r="J57" s="2"/>
    </row>
    <row r="58" spans="1:10" ht="15">
      <c r="A58" s="62"/>
      <c r="B58" s="62"/>
      <c r="C58" s="62"/>
      <c r="D58" s="62"/>
      <c r="E58" s="62"/>
      <c r="F58" s="62"/>
      <c r="G58" s="62"/>
      <c r="H58" s="62"/>
      <c r="I58" s="62"/>
      <c r="J58" s="2"/>
    </row>
    <row r="59" spans="1:10" ht="15">
      <c r="A59" s="62"/>
      <c r="B59" s="62"/>
      <c r="C59" s="62"/>
      <c r="D59" s="62"/>
      <c r="E59" s="62"/>
      <c r="F59" s="62"/>
      <c r="G59" s="62"/>
      <c r="H59" s="62"/>
      <c r="I59" s="62"/>
      <c r="J59" s="2"/>
    </row>
    <row r="60" spans="1:10" ht="15">
      <c r="A60" s="62"/>
      <c r="B60" s="62"/>
      <c r="C60" s="62"/>
      <c r="D60" s="62"/>
      <c r="E60" s="62"/>
      <c r="F60" s="62"/>
      <c r="G60" s="62"/>
      <c r="H60" s="62"/>
      <c r="I60" s="62"/>
      <c r="J60" s="2"/>
    </row>
    <row r="61" spans="1:10" ht="15">
      <c r="A61" s="62"/>
      <c r="B61" s="62"/>
      <c r="C61" s="62"/>
      <c r="D61" s="62"/>
      <c r="E61" s="62"/>
      <c r="F61" s="62"/>
      <c r="G61" s="62"/>
      <c r="H61" s="62"/>
      <c r="I61" s="62"/>
      <c r="J61" s="2"/>
    </row>
    <row r="62" spans="1:10" ht="15">
      <c r="A62" s="62"/>
      <c r="B62" s="62"/>
      <c r="C62" s="62"/>
      <c r="D62" s="62"/>
      <c r="E62" s="62"/>
      <c r="F62" s="62"/>
      <c r="G62" s="62"/>
      <c r="H62" s="62"/>
      <c r="I62" s="62"/>
      <c r="J62" s="2"/>
    </row>
    <row r="63" spans="1:10" ht="15">
      <c r="A63" s="62"/>
      <c r="B63" s="62"/>
      <c r="C63" s="62"/>
      <c r="D63" s="62"/>
      <c r="E63" s="62"/>
      <c r="F63" s="62"/>
      <c r="G63" s="62"/>
      <c r="H63" s="62"/>
      <c r="I63" s="62"/>
      <c r="J63" s="2"/>
    </row>
    <row r="64" spans="1:10" ht="15">
      <c r="A64" s="62"/>
      <c r="B64" s="62"/>
      <c r="C64" s="62"/>
      <c r="D64" s="62"/>
      <c r="E64" s="62"/>
      <c r="F64" s="62"/>
      <c r="G64" s="62"/>
      <c r="H64" s="62"/>
      <c r="I64" s="62"/>
      <c r="J64" s="2"/>
    </row>
    <row r="65" spans="1:10" ht="15">
      <c r="A65" s="62"/>
      <c r="B65" s="62"/>
      <c r="C65" s="62"/>
      <c r="D65" s="62"/>
      <c r="E65" s="62"/>
      <c r="F65" s="62"/>
      <c r="G65" s="62"/>
      <c r="H65" s="62"/>
      <c r="I65" s="62"/>
      <c r="J65" s="2"/>
    </row>
    <row r="66" spans="1:10" ht="15">
      <c r="A66" s="62"/>
      <c r="B66" s="62"/>
      <c r="C66" s="62"/>
      <c r="D66" s="62"/>
      <c r="E66" s="62"/>
      <c r="F66" s="62"/>
      <c r="G66" s="62"/>
      <c r="H66" s="62"/>
      <c r="I66" s="62"/>
      <c r="J66" s="2"/>
    </row>
    <row r="67" spans="1:10" ht="15">
      <c r="A67" s="62"/>
      <c r="B67" s="62"/>
      <c r="C67" s="62"/>
      <c r="D67" s="62"/>
      <c r="E67" s="62"/>
      <c r="F67" s="62"/>
      <c r="G67" s="62"/>
      <c r="H67" s="62"/>
      <c r="I67" s="62"/>
      <c r="J67" s="2"/>
    </row>
    <row r="68" spans="1:10" ht="15">
      <c r="A68" s="62"/>
      <c r="B68" s="62"/>
      <c r="C68" s="62"/>
      <c r="D68" s="62"/>
      <c r="E68" s="62"/>
      <c r="F68" s="62"/>
      <c r="G68" s="62"/>
      <c r="H68" s="62"/>
      <c r="I68" s="62"/>
      <c r="J68" s="2"/>
    </row>
    <row r="69" spans="1:10" ht="15">
      <c r="A69" s="62"/>
      <c r="B69" s="62"/>
      <c r="C69" s="62"/>
      <c r="D69" s="62"/>
      <c r="E69" s="62"/>
      <c r="F69" s="62"/>
      <c r="G69" s="62"/>
      <c r="H69" s="62"/>
      <c r="I69" s="62"/>
      <c r="J69" s="2"/>
    </row>
    <row r="70" spans="1:10" ht="15">
      <c r="A70" s="62"/>
      <c r="B70" s="62"/>
      <c r="C70" s="62"/>
      <c r="D70" s="62"/>
      <c r="E70" s="62"/>
      <c r="F70" s="62"/>
      <c r="G70" s="62"/>
      <c r="H70" s="62"/>
      <c r="I70" s="62"/>
      <c r="J70" s="2"/>
    </row>
    <row r="71" spans="1:10" ht="15">
      <c r="A71" s="62"/>
      <c r="B71" s="62"/>
      <c r="C71" s="62"/>
      <c r="D71" s="62"/>
      <c r="E71" s="62"/>
      <c r="F71" s="62"/>
      <c r="G71" s="62"/>
      <c r="H71" s="62"/>
      <c r="I71" s="62"/>
      <c r="J71" s="2"/>
    </row>
    <row r="72" spans="1:10" ht="15">
      <c r="A72" s="62"/>
      <c r="B72" s="62"/>
      <c r="C72" s="62"/>
      <c r="D72" s="62"/>
      <c r="E72" s="62"/>
      <c r="F72" s="62"/>
      <c r="G72" s="62"/>
      <c r="H72" s="62"/>
      <c r="I72" s="62"/>
      <c r="J72" s="2"/>
    </row>
    <row r="73" spans="1:10" ht="15">
      <c r="A73" s="62"/>
      <c r="B73" s="62"/>
      <c r="C73" s="62"/>
      <c r="D73" s="62"/>
      <c r="E73" s="62"/>
      <c r="F73" s="62"/>
      <c r="G73" s="62"/>
      <c r="H73" s="62"/>
      <c r="I73" s="62"/>
      <c r="J73" s="2"/>
    </row>
    <row r="74" spans="1:10" ht="15">
      <c r="A74" s="62"/>
      <c r="B74" s="62"/>
      <c r="C74" s="62"/>
      <c r="D74" s="62"/>
      <c r="E74" s="62"/>
      <c r="F74" s="62"/>
      <c r="G74" s="62"/>
      <c r="H74" s="62"/>
      <c r="I74" s="62"/>
      <c r="J74" s="2"/>
    </row>
    <row r="75" spans="1:10" ht="15">
      <c r="A75" s="62"/>
      <c r="B75" s="62"/>
      <c r="C75" s="62"/>
      <c r="D75" s="62"/>
      <c r="E75" s="62"/>
      <c r="F75" s="62"/>
      <c r="G75" s="62"/>
      <c r="H75" s="62"/>
      <c r="I75" s="62"/>
      <c r="J75" s="2"/>
    </row>
    <row r="76" spans="1:10" ht="15">
      <c r="A76" s="62"/>
      <c r="B76" s="62"/>
      <c r="C76" s="62"/>
      <c r="D76" s="62"/>
      <c r="E76" s="62"/>
      <c r="F76" s="62"/>
      <c r="G76" s="62"/>
      <c r="H76" s="62"/>
      <c r="I76" s="62"/>
      <c r="J76" s="2"/>
    </row>
    <row r="77" spans="1:10" ht="15">
      <c r="A77" s="62"/>
      <c r="B77" s="62"/>
      <c r="C77" s="62"/>
      <c r="D77" s="62"/>
      <c r="E77" s="62"/>
      <c r="F77" s="62"/>
      <c r="G77" s="62"/>
      <c r="H77" s="62"/>
      <c r="I77" s="62"/>
      <c r="J77" s="2"/>
    </row>
    <row r="78" spans="1:10" ht="15">
      <c r="A78" s="62"/>
      <c r="B78" s="62"/>
      <c r="C78" s="62"/>
      <c r="D78" s="62"/>
      <c r="E78" s="62"/>
      <c r="F78" s="62"/>
      <c r="G78" s="62"/>
      <c r="H78" s="62"/>
      <c r="I78" s="62"/>
      <c r="J78" s="2"/>
    </row>
    <row r="79" spans="1:10" ht="15">
      <c r="A79" s="62"/>
      <c r="B79" s="62"/>
      <c r="C79" s="62"/>
      <c r="D79" s="62"/>
      <c r="E79" s="62"/>
      <c r="F79" s="62"/>
      <c r="G79" s="62"/>
      <c r="H79" s="62"/>
      <c r="I79" s="62"/>
      <c r="J79" s="2"/>
    </row>
    <row r="80" spans="1:10" ht="15">
      <c r="A80" s="62"/>
      <c r="B80" s="62"/>
      <c r="C80" s="62"/>
      <c r="D80" s="62"/>
      <c r="E80" s="62"/>
      <c r="F80" s="62"/>
      <c r="G80" s="62"/>
      <c r="H80" s="62"/>
      <c r="I80" s="62"/>
      <c r="J80" s="2"/>
    </row>
    <row r="81" spans="1:10" ht="15">
      <c r="A81" s="62"/>
      <c r="B81" s="62"/>
      <c r="C81" s="62"/>
      <c r="D81" s="62"/>
      <c r="E81" s="62"/>
      <c r="F81" s="62"/>
      <c r="G81" s="62"/>
      <c r="H81" s="62"/>
      <c r="I81" s="62"/>
      <c r="J81" s="2"/>
    </row>
    <row r="82" spans="1:10" ht="15">
      <c r="A82" s="62"/>
      <c r="B82" s="62"/>
      <c r="C82" s="62"/>
      <c r="D82" s="62"/>
      <c r="E82" s="62"/>
      <c r="F82" s="62"/>
      <c r="G82" s="62"/>
      <c r="H82" s="62"/>
      <c r="I82" s="62"/>
      <c r="J82" s="2"/>
    </row>
    <row r="83" spans="1:10" ht="15">
      <c r="A83" s="62"/>
      <c r="B83" s="62"/>
      <c r="C83" s="62"/>
      <c r="D83" s="62"/>
      <c r="E83" s="62"/>
      <c r="F83" s="62"/>
      <c r="G83" s="62"/>
      <c r="H83" s="62"/>
      <c r="I83" s="62"/>
      <c r="J83" s="2"/>
    </row>
    <row r="84" spans="1:10" ht="15">
      <c r="A84" s="62"/>
      <c r="B84" s="62"/>
      <c r="C84" s="62"/>
      <c r="D84" s="62"/>
      <c r="E84" s="62"/>
      <c r="F84" s="62"/>
      <c r="G84" s="62"/>
      <c r="H84" s="62"/>
      <c r="I84" s="62"/>
      <c r="J84" s="2"/>
    </row>
    <row r="85" spans="1:10" ht="15">
      <c r="A85" s="62"/>
      <c r="B85" s="62"/>
      <c r="C85" s="62"/>
      <c r="D85" s="62"/>
      <c r="E85" s="62"/>
      <c r="F85" s="62"/>
      <c r="G85" s="62"/>
      <c r="H85" s="62"/>
      <c r="I85" s="62"/>
      <c r="J85" s="2"/>
    </row>
    <row r="86" spans="1:10" ht="15">
      <c r="A86" s="62"/>
      <c r="B86" s="62"/>
      <c r="C86" s="62"/>
      <c r="D86" s="62"/>
      <c r="E86" s="62"/>
      <c r="F86" s="62"/>
      <c r="G86" s="62"/>
      <c r="H86" s="62"/>
      <c r="I86" s="62"/>
      <c r="J86" s="2"/>
    </row>
    <row r="87" spans="1:10" ht="15">
      <c r="A87" s="62"/>
      <c r="B87" s="62"/>
      <c r="C87" s="62"/>
      <c r="D87" s="62"/>
      <c r="E87" s="62"/>
      <c r="F87" s="62"/>
      <c r="G87" s="62"/>
      <c r="H87" s="62"/>
      <c r="I87" s="62"/>
      <c r="J87" s="2"/>
    </row>
    <row r="88" spans="1:10" ht="15">
      <c r="A88" s="62"/>
      <c r="B88" s="62"/>
      <c r="C88" s="62"/>
      <c r="D88" s="62"/>
      <c r="E88" s="62"/>
      <c r="F88" s="62"/>
      <c r="G88" s="62"/>
      <c r="H88" s="62"/>
      <c r="I88" s="62"/>
      <c r="J88" s="2"/>
    </row>
    <row r="89" spans="1:10" ht="15">
      <c r="A89" s="2"/>
      <c r="B89" s="2"/>
      <c r="C89" s="2"/>
      <c r="D89" s="2"/>
      <c r="E89" s="2"/>
      <c r="F89" s="2"/>
      <c r="G89" s="2"/>
      <c r="H89" s="2"/>
      <c r="I89" s="2"/>
      <c r="J89" s="2"/>
    </row>
    <row r="90" spans="1:10" ht="15">
      <c r="A90" s="2"/>
      <c r="B90" s="2"/>
      <c r="C90" s="2"/>
      <c r="D90" s="2"/>
      <c r="E90" s="2"/>
      <c r="F90" s="2"/>
      <c r="G90" s="2"/>
      <c r="H90" s="2"/>
      <c r="I90" s="2"/>
      <c r="J90" s="2"/>
    </row>
    <row r="91" spans="1:10" ht="15">
      <c r="A91" s="2"/>
      <c r="B91" s="2"/>
      <c r="C91" s="2"/>
      <c r="D91" s="2"/>
      <c r="E91" s="2"/>
      <c r="F91" s="2"/>
      <c r="G91" s="2"/>
      <c r="H91" s="2"/>
      <c r="I91" s="2"/>
      <c r="J91" s="2"/>
    </row>
    <row r="92" spans="1:10" ht="15">
      <c r="A92" s="2"/>
      <c r="B92" s="2"/>
      <c r="C92" s="2"/>
      <c r="D92" s="2"/>
      <c r="E92" s="2"/>
      <c r="F92" s="2"/>
      <c r="G92" s="2"/>
      <c r="H92" s="2"/>
      <c r="I92" s="2"/>
      <c r="J92" s="2"/>
    </row>
    <row r="93" spans="1:10" ht="15">
      <c r="A93" s="2"/>
      <c r="B93" s="2"/>
      <c r="C93" s="2"/>
      <c r="D93" s="2"/>
      <c r="E93" s="2"/>
      <c r="F93" s="2"/>
      <c r="G93" s="2"/>
      <c r="H93" s="2"/>
      <c r="I93" s="2"/>
      <c r="J93" s="2"/>
    </row>
    <row r="94" spans="1:10" ht="15">
      <c r="A94" s="2"/>
      <c r="B94" s="2"/>
      <c r="C94" s="2"/>
      <c r="D94" s="2"/>
      <c r="E94" s="2"/>
      <c r="F94" s="2"/>
      <c r="G94" s="2"/>
      <c r="H94" s="2"/>
      <c r="I94" s="2"/>
      <c r="J94" s="2"/>
    </row>
    <row r="95" spans="1:10" ht="15">
      <c r="A95" s="2"/>
      <c r="B95" s="2"/>
      <c r="C95" s="2"/>
      <c r="D95" s="2"/>
      <c r="E95" s="2"/>
      <c r="F95" s="2"/>
      <c r="G95" s="2"/>
      <c r="H95" s="2"/>
      <c r="I95" s="2"/>
      <c r="J95" s="2"/>
    </row>
    <row r="96" spans="1:10" ht="15">
      <c r="A96" s="2"/>
      <c r="B96" s="2"/>
      <c r="C96" s="2"/>
      <c r="D96" s="2"/>
      <c r="E96" s="2"/>
      <c r="F96" s="2"/>
      <c r="G96" s="2"/>
      <c r="H96" s="2"/>
      <c r="I96" s="2"/>
      <c r="J96" s="2"/>
    </row>
    <row r="97" spans="1:10" ht="15">
      <c r="A97" s="2"/>
      <c r="B97" s="2"/>
      <c r="C97" s="2"/>
      <c r="D97" s="2"/>
      <c r="E97" s="2"/>
      <c r="F97" s="2"/>
      <c r="G97" s="2"/>
      <c r="H97" s="2"/>
      <c r="I97" s="2"/>
      <c r="J97" s="2"/>
    </row>
    <row r="98" spans="1:10" ht="15">
      <c r="A98" s="2"/>
      <c r="B98" s="2"/>
      <c r="C98" s="2"/>
      <c r="D98" s="2"/>
      <c r="E98" s="2"/>
      <c r="F98" s="2"/>
      <c r="G98" s="2"/>
      <c r="H98" s="2"/>
      <c r="I98" s="2"/>
      <c r="J98" s="2"/>
    </row>
    <row r="99" spans="1:10" ht="15">
      <c r="A99" s="2"/>
      <c r="B99" s="2"/>
      <c r="C99" s="2"/>
      <c r="D99" s="2"/>
      <c r="E99" s="2"/>
      <c r="F99" s="2"/>
      <c r="G99" s="2"/>
      <c r="H99" s="2"/>
      <c r="I99" s="2"/>
      <c r="J99" s="2"/>
    </row>
    <row r="100" spans="1:10" ht="15">
      <c r="A100" s="2"/>
      <c r="B100" s="2"/>
      <c r="C100" s="2"/>
      <c r="D100" s="2"/>
      <c r="E100" s="2"/>
      <c r="F100" s="2"/>
      <c r="G100" s="2"/>
      <c r="H100" s="2"/>
      <c r="I100" s="2"/>
      <c r="J100" s="2"/>
    </row>
    <row r="101" spans="1:10" ht="15">
      <c r="A101" s="2"/>
      <c r="B101" s="2"/>
      <c r="C101" s="2"/>
      <c r="D101" s="2"/>
      <c r="E101" s="2"/>
      <c r="F101" s="2"/>
      <c r="G101" s="2"/>
      <c r="H101" s="2"/>
      <c r="I101" s="2"/>
      <c r="J101" s="2"/>
    </row>
    <row r="102" spans="1:10" ht="15">
      <c r="A102" s="2"/>
      <c r="B102" s="2"/>
      <c r="C102" s="2"/>
      <c r="D102" s="2"/>
      <c r="E102" s="2"/>
      <c r="F102" s="2"/>
      <c r="G102" s="2"/>
      <c r="H102" s="2"/>
      <c r="I102" s="2"/>
      <c r="J102" s="2"/>
    </row>
    <row r="103" spans="1:10" ht="15">
      <c r="A103" s="2"/>
      <c r="B103" s="2"/>
      <c r="C103" s="2"/>
      <c r="D103" s="2"/>
      <c r="E103" s="2"/>
      <c r="F103" s="2"/>
      <c r="G103" s="2"/>
      <c r="H103" s="2"/>
      <c r="I103" s="2"/>
      <c r="J103" s="2"/>
    </row>
    <row r="104" spans="1:10" ht="15">
      <c r="A104" s="2"/>
      <c r="B104" s="2"/>
      <c r="C104" s="2"/>
      <c r="D104" s="2"/>
      <c r="E104" s="2"/>
      <c r="F104" s="2"/>
      <c r="G104" s="2"/>
      <c r="H104" s="2"/>
      <c r="I104" s="2"/>
      <c r="J104" s="2"/>
    </row>
    <row r="105" spans="1:10" ht="15">
      <c r="A105" s="2"/>
      <c r="B105" s="2"/>
      <c r="C105" s="2"/>
      <c r="D105" s="2"/>
      <c r="E105" s="2"/>
      <c r="F105" s="2"/>
      <c r="G105" s="2"/>
      <c r="H105" s="2"/>
      <c r="I105" s="2"/>
      <c r="J105" s="2"/>
    </row>
    <row r="106" spans="1:10" ht="15">
      <c r="A106" s="2"/>
      <c r="B106" s="2"/>
      <c r="C106" s="2"/>
      <c r="D106" s="2"/>
      <c r="E106" s="2"/>
      <c r="F106" s="2"/>
      <c r="G106" s="2"/>
      <c r="H106" s="2"/>
      <c r="I106" s="2"/>
      <c r="J106" s="2"/>
    </row>
    <row r="107" spans="1:10" ht="15">
      <c r="A107" s="2"/>
      <c r="B107" s="2"/>
      <c r="C107" s="2"/>
      <c r="D107" s="2"/>
      <c r="E107" s="2"/>
      <c r="F107" s="2"/>
      <c r="G107" s="2"/>
      <c r="H107" s="2"/>
      <c r="I107" s="2"/>
      <c r="J107" s="2"/>
    </row>
    <row r="108" spans="1:10" ht="15">
      <c r="A108" s="2"/>
      <c r="B108" s="2"/>
      <c r="C108" s="2"/>
      <c r="D108" s="2"/>
      <c r="E108" s="2"/>
      <c r="F108" s="2"/>
      <c r="G108" s="2"/>
      <c r="H108" s="2"/>
      <c r="I108" s="2"/>
      <c r="J108" s="2"/>
    </row>
    <row r="109" spans="1:10" ht="15">
      <c r="A109" s="2"/>
      <c r="B109" s="2"/>
      <c r="C109" s="2"/>
      <c r="D109" s="2"/>
      <c r="E109" s="2"/>
      <c r="F109" s="2"/>
      <c r="G109" s="2"/>
      <c r="H109" s="2"/>
      <c r="I109" s="2"/>
      <c r="J109" s="2"/>
    </row>
    <row r="110" spans="1:10" ht="15">
      <c r="A110" s="2"/>
      <c r="B110" s="2"/>
      <c r="C110" s="2"/>
      <c r="D110" s="2"/>
      <c r="E110" s="2"/>
      <c r="F110" s="2"/>
      <c r="G110" s="2"/>
      <c r="H110" s="2"/>
      <c r="I110" s="2"/>
      <c r="J110" s="2"/>
    </row>
    <row r="111" spans="1:10" ht="15">
      <c r="A111" s="2"/>
      <c r="B111" s="2"/>
      <c r="C111" s="2"/>
      <c r="D111" s="2"/>
      <c r="E111" s="2"/>
      <c r="F111" s="2"/>
      <c r="G111" s="2"/>
      <c r="H111" s="2"/>
      <c r="I111" s="2"/>
      <c r="J111" s="2"/>
    </row>
    <row r="112" spans="1:10" ht="15">
      <c r="A112" s="2"/>
      <c r="B112" s="2"/>
      <c r="C112" s="2"/>
      <c r="D112" s="2"/>
      <c r="E112" s="2"/>
      <c r="F112" s="2"/>
      <c r="G112" s="2"/>
      <c r="H112" s="2"/>
      <c r="I112" s="2"/>
      <c r="J112" s="2"/>
    </row>
    <row r="113" spans="1:10" ht="15">
      <c r="A113" s="2"/>
      <c r="B113" s="2"/>
      <c r="C113" s="2"/>
      <c r="D113" s="2"/>
      <c r="E113" s="2"/>
      <c r="F113" s="2"/>
      <c r="G113" s="2"/>
      <c r="H113" s="2"/>
      <c r="I113" s="2"/>
      <c r="J113" s="2"/>
    </row>
    <row r="114" spans="1:10" ht="15">
      <c r="A114" s="2"/>
      <c r="B114" s="2"/>
      <c r="C114" s="2"/>
      <c r="D114" s="2"/>
      <c r="E114" s="2"/>
      <c r="F114" s="2"/>
      <c r="G114" s="2"/>
      <c r="H114" s="2"/>
      <c r="I114" s="2"/>
      <c r="J114" s="2"/>
    </row>
    <row r="115" spans="1:10" ht="15">
      <c r="A115" s="2"/>
      <c r="B115" s="2"/>
      <c r="C115" s="2"/>
      <c r="D115" s="2"/>
      <c r="E115" s="2"/>
      <c r="F115" s="2"/>
      <c r="G115" s="2"/>
      <c r="H115" s="2"/>
      <c r="I115" s="2"/>
      <c r="J115" s="2"/>
    </row>
    <row r="116" spans="1:10" ht="15">
      <c r="A116" s="2"/>
      <c r="B116" s="2"/>
      <c r="C116" s="2"/>
      <c r="D116" s="2"/>
      <c r="E116" s="2"/>
      <c r="F116" s="2"/>
      <c r="G116" s="2"/>
      <c r="H116" s="2"/>
      <c r="I116" s="2"/>
      <c r="J116" s="2"/>
    </row>
    <row r="117" spans="1:10" ht="15">
      <c r="A117" s="2"/>
      <c r="B117" s="2"/>
      <c r="C117" s="2"/>
      <c r="D117" s="2"/>
      <c r="E117" s="2"/>
      <c r="F117" s="2"/>
      <c r="G117" s="2"/>
      <c r="H117" s="2"/>
      <c r="I117" s="2"/>
      <c r="J117" s="2"/>
    </row>
    <row r="118" spans="1:10" ht="15">
      <c r="A118" s="2"/>
      <c r="B118" s="2"/>
      <c r="C118" s="2"/>
      <c r="D118" s="2"/>
      <c r="E118" s="2"/>
      <c r="F118" s="2"/>
      <c r="G118" s="2"/>
      <c r="H118" s="2"/>
      <c r="I118" s="2"/>
      <c r="J118" s="2"/>
    </row>
    <row r="119" spans="1:10" ht="15">
      <c r="A119" s="2"/>
      <c r="B119" s="2"/>
      <c r="C119" s="2"/>
      <c r="D119" s="2"/>
      <c r="E119" s="2"/>
      <c r="F119" s="2"/>
      <c r="G119" s="2"/>
      <c r="H119" s="2"/>
      <c r="I119" s="2"/>
      <c r="J119" s="2"/>
    </row>
    <row r="120" spans="1:10" ht="15">
      <c r="A120" s="2"/>
      <c r="B120" s="2"/>
      <c r="C120" s="2"/>
      <c r="D120" s="2"/>
      <c r="E120" s="2"/>
      <c r="F120" s="2"/>
      <c r="G120" s="2"/>
      <c r="H120" s="2"/>
      <c r="I120" s="2"/>
      <c r="J120" s="2"/>
    </row>
    <row r="121" spans="1:10" ht="15">
      <c r="A121" s="2"/>
      <c r="B121" s="2"/>
      <c r="C121" s="2"/>
      <c r="D121" s="2"/>
      <c r="E121" s="2"/>
      <c r="F121" s="2"/>
      <c r="G121" s="2"/>
      <c r="H121" s="2"/>
      <c r="I121" s="2"/>
      <c r="J121" s="2"/>
    </row>
    <row r="122" spans="1:10" ht="15">
      <c r="A122" s="2"/>
      <c r="B122" s="2"/>
      <c r="C122" s="2"/>
      <c r="D122" s="2"/>
      <c r="E122" s="2"/>
      <c r="F122" s="2"/>
      <c r="G122" s="2"/>
      <c r="H122" s="2"/>
      <c r="I122" s="2"/>
      <c r="J122" s="2"/>
    </row>
    <row r="123" spans="1:10" ht="15">
      <c r="A123" s="2"/>
      <c r="B123" s="2"/>
      <c r="C123" s="2"/>
      <c r="D123" s="2"/>
      <c r="E123" s="2"/>
      <c r="F123" s="2"/>
      <c r="G123" s="2"/>
      <c r="H123" s="2"/>
      <c r="I123" s="2"/>
      <c r="J123" s="2"/>
    </row>
    <row r="124" spans="1:10" ht="15">
      <c r="A124" s="2"/>
      <c r="B124" s="2"/>
      <c r="C124" s="2"/>
      <c r="D124" s="2"/>
      <c r="E124" s="2"/>
      <c r="F124" s="2"/>
      <c r="G124" s="2"/>
      <c r="H124" s="2"/>
      <c r="I124" s="2"/>
      <c r="J124" s="2"/>
    </row>
    <row r="125" spans="1:10" ht="15">
      <c r="A125" s="2"/>
      <c r="B125" s="2"/>
      <c r="C125" s="2"/>
      <c r="D125" s="2"/>
      <c r="E125" s="2"/>
      <c r="F125" s="2"/>
      <c r="G125" s="2"/>
      <c r="H125" s="2"/>
      <c r="I125" s="2"/>
      <c r="J125" s="2"/>
    </row>
    <row r="126" spans="1:10" ht="15">
      <c r="A126" s="2"/>
      <c r="B126" s="2"/>
      <c r="C126" s="2"/>
      <c r="D126" s="2"/>
      <c r="E126" s="2"/>
      <c r="F126" s="2"/>
      <c r="G126" s="2"/>
      <c r="H126" s="2"/>
      <c r="I126" s="2"/>
      <c r="J126" s="2"/>
    </row>
    <row r="127" spans="1:10" ht="15">
      <c r="A127" s="2"/>
      <c r="B127" s="2"/>
      <c r="C127" s="2"/>
      <c r="D127" s="2"/>
      <c r="E127" s="2"/>
      <c r="F127" s="2"/>
      <c r="G127" s="2"/>
      <c r="H127" s="2"/>
      <c r="I127" s="2"/>
      <c r="J127" s="2"/>
    </row>
    <row r="128" spans="1:10" ht="15">
      <c r="A128" s="2"/>
      <c r="B128" s="2"/>
      <c r="C128" s="2"/>
      <c r="D128" s="2"/>
      <c r="E128" s="2"/>
      <c r="F128" s="2"/>
      <c r="G128" s="2"/>
      <c r="H128" s="2"/>
      <c r="I128" s="2"/>
      <c r="J128" s="2"/>
    </row>
    <row r="129" spans="1:10" ht="15">
      <c r="A129" s="2"/>
      <c r="B129" s="2"/>
      <c r="C129" s="2"/>
      <c r="D129" s="2"/>
      <c r="E129" s="2"/>
      <c r="F129" s="2"/>
      <c r="G129" s="2"/>
      <c r="H129" s="2"/>
      <c r="I129" s="2"/>
      <c r="J129" s="2"/>
    </row>
    <row r="130" spans="1:10" ht="15">
      <c r="A130" s="2"/>
      <c r="B130" s="2"/>
      <c r="C130" s="2"/>
      <c r="D130" s="2"/>
      <c r="E130" s="2"/>
      <c r="F130" s="2"/>
      <c r="G130" s="2"/>
      <c r="H130" s="2"/>
      <c r="I130" s="2"/>
      <c r="J130" s="2"/>
    </row>
    <row r="131" spans="1:10" ht="15">
      <c r="A131" s="2"/>
      <c r="B131" s="2"/>
      <c r="C131" s="2"/>
      <c r="D131" s="2"/>
      <c r="E131" s="2"/>
      <c r="F131" s="2"/>
      <c r="G131" s="2"/>
      <c r="H131" s="2"/>
      <c r="I131" s="2"/>
      <c r="J131" s="2"/>
    </row>
    <row r="132" spans="1:10" ht="15">
      <c r="A132" s="2"/>
      <c r="B132" s="2"/>
      <c r="C132" s="2"/>
      <c r="D132" s="2"/>
      <c r="E132" s="2"/>
      <c r="F132" s="2"/>
      <c r="G132" s="2"/>
      <c r="H132" s="2"/>
      <c r="I132" s="2"/>
      <c r="J132" s="2"/>
    </row>
    <row r="133" spans="1:10" ht="15">
      <c r="A133" s="2"/>
      <c r="B133" s="2"/>
      <c r="C133" s="2"/>
      <c r="D133" s="2"/>
      <c r="E133" s="2"/>
      <c r="F133" s="2"/>
      <c r="G133" s="2"/>
      <c r="H133" s="2"/>
      <c r="I133" s="2"/>
      <c r="J133" s="2"/>
    </row>
    <row r="134" spans="1:10" ht="15">
      <c r="A134" s="2"/>
      <c r="B134" s="2"/>
      <c r="C134" s="2"/>
      <c r="D134" s="2"/>
      <c r="E134" s="2"/>
      <c r="F134" s="2"/>
      <c r="G134" s="2"/>
      <c r="H134" s="2"/>
      <c r="I134" s="2"/>
      <c r="J134" s="2"/>
    </row>
    <row r="135" spans="1:10" ht="15">
      <c r="A135" s="2"/>
      <c r="B135" s="2"/>
      <c r="C135" s="2"/>
      <c r="D135" s="2"/>
      <c r="E135" s="2"/>
      <c r="F135" s="2"/>
      <c r="G135" s="2"/>
      <c r="H135" s="2"/>
      <c r="I135" s="2"/>
      <c r="J135" s="2"/>
    </row>
    <row r="136" spans="1:10" ht="15">
      <c r="A136" s="2"/>
      <c r="B136" s="2"/>
      <c r="C136" s="2"/>
      <c r="D136" s="2"/>
      <c r="E136" s="2"/>
      <c r="F136" s="2"/>
      <c r="G136" s="2"/>
      <c r="H136" s="2"/>
      <c r="I136" s="2"/>
      <c r="J136" s="2"/>
    </row>
    <row r="137" spans="1:10" ht="15">
      <c r="A137" s="2"/>
      <c r="B137" s="2"/>
      <c r="C137" s="2"/>
      <c r="D137" s="2"/>
      <c r="E137" s="2"/>
      <c r="F137" s="2"/>
      <c r="G137" s="2"/>
      <c r="H137" s="2"/>
      <c r="I137" s="2"/>
      <c r="J137" s="2"/>
    </row>
    <row r="138" spans="1:10" ht="15">
      <c r="A138" s="2"/>
      <c r="B138" s="2"/>
      <c r="C138" s="2"/>
      <c r="D138" s="2"/>
      <c r="E138" s="2"/>
      <c r="F138" s="2"/>
      <c r="G138" s="2"/>
      <c r="H138" s="2"/>
      <c r="I138" s="2"/>
      <c r="J138" s="2"/>
    </row>
    <row r="139" spans="1:10" ht="15">
      <c r="A139" s="2"/>
      <c r="B139" s="2"/>
      <c r="C139" s="2"/>
      <c r="D139" s="2"/>
      <c r="E139" s="2"/>
      <c r="F139" s="2"/>
      <c r="G139" s="2"/>
      <c r="H139" s="2"/>
      <c r="I139" s="2"/>
      <c r="J139" s="2"/>
    </row>
    <row r="140" spans="1:10" ht="15">
      <c r="A140" s="2"/>
      <c r="B140" s="2"/>
      <c r="C140" s="2"/>
      <c r="D140" s="2"/>
      <c r="E140" s="2"/>
      <c r="F140" s="2"/>
      <c r="G140" s="2"/>
      <c r="H140" s="2"/>
      <c r="I140" s="2"/>
      <c r="J140" s="2"/>
    </row>
    <row r="141" spans="1:10" ht="15">
      <c r="A141" s="2"/>
      <c r="B141" s="2"/>
      <c r="C141" s="2"/>
      <c r="D141" s="2"/>
      <c r="E141" s="2"/>
      <c r="F141" s="2"/>
      <c r="G141" s="2"/>
      <c r="H141" s="2"/>
      <c r="I141" s="2"/>
      <c r="J141" s="2"/>
    </row>
    <row r="142" spans="1:10" ht="15">
      <c r="A142" s="2"/>
      <c r="B142" s="2"/>
      <c r="C142" s="2"/>
      <c r="D142" s="2"/>
      <c r="E142" s="2"/>
      <c r="F142" s="2"/>
      <c r="G142" s="2"/>
      <c r="H142" s="2"/>
      <c r="I142" s="2"/>
      <c r="J142" s="2"/>
    </row>
    <row r="143" spans="1:10" ht="15">
      <c r="A143" s="2"/>
      <c r="B143" s="2"/>
      <c r="C143" s="2"/>
      <c r="D143" s="2"/>
      <c r="E143" s="2"/>
      <c r="F143" s="2"/>
      <c r="G143" s="2"/>
      <c r="H143" s="2"/>
      <c r="I143" s="2"/>
      <c r="J143" s="2"/>
    </row>
    <row r="144" spans="1:10" ht="15">
      <c r="A144" s="2"/>
      <c r="B144" s="2"/>
      <c r="C144" s="2"/>
      <c r="D144" s="2"/>
      <c r="E144" s="2"/>
      <c r="F144" s="2"/>
      <c r="G144" s="2"/>
      <c r="H144" s="2"/>
      <c r="I144" s="2"/>
      <c r="J144" s="2"/>
    </row>
    <row r="145" spans="1:10" ht="15">
      <c r="A145" s="2"/>
      <c r="B145" s="2"/>
      <c r="C145" s="2"/>
      <c r="D145" s="2"/>
      <c r="E145" s="2"/>
      <c r="F145" s="2"/>
      <c r="G145" s="2"/>
      <c r="H145" s="2"/>
      <c r="I145" s="2"/>
      <c r="J145" s="2"/>
    </row>
    <row r="146" spans="1:10" ht="15">
      <c r="A146" s="2"/>
      <c r="B146" s="2"/>
      <c r="C146" s="2"/>
      <c r="D146" s="2"/>
      <c r="E146" s="2"/>
      <c r="F146" s="2"/>
      <c r="G146" s="2"/>
      <c r="H146" s="2"/>
      <c r="I146" s="2"/>
      <c r="J146" s="2"/>
    </row>
    <row r="147" spans="1:10" ht="15">
      <c r="A147" s="2"/>
      <c r="B147" s="2"/>
      <c r="C147" s="2"/>
      <c r="D147" s="2"/>
      <c r="E147" s="2"/>
      <c r="F147" s="2"/>
      <c r="G147" s="2"/>
      <c r="H147" s="2"/>
      <c r="I147" s="2"/>
      <c r="J147" s="2"/>
    </row>
    <row r="148" spans="1:10" ht="15">
      <c r="A148" s="2"/>
      <c r="B148" s="2"/>
      <c r="C148" s="2"/>
      <c r="D148" s="2"/>
      <c r="E148" s="2"/>
      <c r="F148" s="2"/>
      <c r="G148" s="2"/>
      <c r="H148" s="2"/>
      <c r="I148" s="2"/>
      <c r="J148" s="2"/>
    </row>
    <row r="149" spans="1:10" ht="15">
      <c r="A149" s="2"/>
      <c r="B149" s="2"/>
      <c r="C149" s="2"/>
      <c r="D149" s="2"/>
      <c r="E149" s="2"/>
      <c r="F149" s="2"/>
      <c r="G149" s="2"/>
      <c r="H149" s="2"/>
      <c r="I149" s="2"/>
      <c r="J149" s="2"/>
    </row>
    <row r="150" spans="1:10" ht="15">
      <c r="A150" s="2"/>
      <c r="B150" s="2"/>
      <c r="C150" s="2"/>
      <c r="D150" s="2"/>
      <c r="E150" s="2"/>
      <c r="F150" s="2"/>
      <c r="G150" s="2"/>
      <c r="H150" s="2"/>
      <c r="I150" s="2"/>
      <c r="J150" s="2"/>
    </row>
    <row r="151" spans="1:10" ht="15">
      <c r="A151" s="2"/>
      <c r="B151" s="2"/>
      <c r="C151" s="2"/>
      <c r="D151" s="2"/>
      <c r="E151" s="2"/>
      <c r="F151" s="2"/>
      <c r="G151" s="2"/>
      <c r="H151" s="2"/>
      <c r="I151" s="2"/>
      <c r="J151" s="2"/>
    </row>
    <row r="152" spans="1:10" ht="15">
      <c r="A152" s="2"/>
      <c r="B152" s="2"/>
      <c r="C152" s="2"/>
      <c r="D152" s="2"/>
      <c r="E152" s="2"/>
      <c r="F152" s="2"/>
      <c r="G152" s="2"/>
      <c r="H152" s="2"/>
      <c r="I152" s="2"/>
      <c r="J152" s="2"/>
    </row>
    <row r="153" spans="1:10" ht="15">
      <c r="A153" s="2"/>
      <c r="B153" s="2"/>
      <c r="C153" s="2"/>
      <c r="D153" s="2"/>
      <c r="E153" s="2"/>
      <c r="F153" s="2"/>
      <c r="G153" s="2"/>
      <c r="H153" s="2"/>
      <c r="I153" s="2"/>
      <c r="J153" s="2"/>
    </row>
    <row r="154" spans="1:10" ht="15">
      <c r="A154" s="2"/>
      <c r="B154" s="2"/>
      <c r="C154" s="2"/>
      <c r="D154" s="2"/>
      <c r="E154" s="2"/>
      <c r="F154" s="2"/>
      <c r="G154" s="2"/>
      <c r="H154" s="2"/>
      <c r="I154" s="2"/>
      <c r="J154" s="2"/>
    </row>
    <row r="155" spans="1:10" ht="15">
      <c r="A155" s="2"/>
      <c r="B155" s="2"/>
      <c r="C155" s="2"/>
      <c r="D155" s="2"/>
      <c r="E155" s="2"/>
      <c r="F155" s="2"/>
      <c r="G155" s="2"/>
      <c r="H155" s="2"/>
      <c r="I155" s="2"/>
      <c r="J155" s="2"/>
    </row>
    <row r="156" spans="1:10" ht="15">
      <c r="A156" s="2"/>
      <c r="B156" s="2"/>
      <c r="C156" s="2"/>
      <c r="D156" s="2"/>
      <c r="E156" s="2"/>
      <c r="F156" s="2"/>
      <c r="G156" s="2"/>
      <c r="H156" s="2"/>
      <c r="I156" s="2"/>
      <c r="J156" s="2"/>
    </row>
    <row r="157" spans="1:10" ht="15">
      <c r="A157" s="2"/>
      <c r="B157" s="2"/>
      <c r="C157" s="2"/>
      <c r="D157" s="2"/>
      <c r="E157" s="2"/>
      <c r="F157" s="2"/>
      <c r="G157" s="2"/>
      <c r="H157" s="2"/>
      <c r="I157" s="2"/>
      <c r="J157" s="2"/>
    </row>
    <row r="158" spans="1:10" ht="15">
      <c r="A158" s="2"/>
      <c r="B158" s="2"/>
      <c r="C158" s="2"/>
      <c r="D158" s="2"/>
      <c r="E158" s="2"/>
      <c r="F158" s="2"/>
      <c r="G158" s="2"/>
      <c r="H158" s="2"/>
      <c r="I158" s="2"/>
      <c r="J158" s="2"/>
    </row>
    <row r="159" spans="1:10" ht="15">
      <c r="A159" s="2"/>
      <c r="B159" s="2"/>
      <c r="C159" s="2"/>
      <c r="D159" s="2"/>
      <c r="E159" s="2"/>
      <c r="F159" s="2"/>
      <c r="G159" s="2"/>
      <c r="H159" s="2"/>
      <c r="I159" s="2"/>
      <c r="J159" s="2"/>
    </row>
    <row r="160" spans="1:10" ht="15">
      <c r="A160" s="2"/>
      <c r="B160" s="2"/>
      <c r="C160" s="2"/>
      <c r="D160" s="2"/>
      <c r="E160" s="2"/>
      <c r="F160" s="2"/>
      <c r="G160" s="2"/>
      <c r="H160" s="2"/>
      <c r="I160" s="2"/>
      <c r="J160" s="2"/>
    </row>
    <row r="161" spans="1:10" ht="15">
      <c r="A161" s="2"/>
      <c r="B161" s="2"/>
      <c r="C161" s="2"/>
      <c r="D161" s="2"/>
      <c r="E161" s="2"/>
      <c r="F161" s="2"/>
      <c r="G161" s="2"/>
      <c r="H161" s="2"/>
      <c r="I161" s="2"/>
      <c r="J161" s="2"/>
    </row>
    <row r="162" spans="1:10" ht="15">
      <c r="A162" s="2"/>
      <c r="B162" s="2"/>
      <c r="C162" s="2"/>
      <c r="D162" s="2"/>
      <c r="E162" s="2"/>
      <c r="F162" s="2"/>
      <c r="G162" s="2"/>
      <c r="H162" s="2"/>
      <c r="I162" s="2"/>
      <c r="J162" s="2"/>
    </row>
    <row r="163" spans="1:10" ht="15">
      <c r="A163" s="2"/>
      <c r="B163" s="2"/>
      <c r="C163" s="2"/>
      <c r="D163" s="2"/>
      <c r="E163" s="2"/>
      <c r="F163" s="2"/>
      <c r="G163" s="2"/>
      <c r="H163" s="2"/>
      <c r="I163" s="2"/>
      <c r="J163" s="2"/>
    </row>
    <row r="164" spans="1:10" ht="15">
      <c r="A164" s="2"/>
      <c r="B164" s="2"/>
      <c r="C164" s="2"/>
      <c r="D164" s="2"/>
      <c r="E164" s="2"/>
      <c r="F164" s="2"/>
      <c r="G164" s="2"/>
      <c r="H164" s="2"/>
      <c r="I164" s="2"/>
      <c r="J164" s="2"/>
    </row>
    <row r="165" spans="1:10" ht="15">
      <c r="A165" s="2"/>
      <c r="B165" s="2"/>
      <c r="C165" s="2"/>
      <c r="D165" s="2"/>
      <c r="E165" s="2"/>
      <c r="F165" s="2"/>
      <c r="G165" s="2"/>
      <c r="H165" s="2"/>
      <c r="I165" s="2"/>
      <c r="J165" s="2"/>
    </row>
    <row r="166" spans="1:10" ht="15">
      <c r="A166" s="2"/>
      <c r="B166" s="2"/>
      <c r="C166" s="2"/>
      <c r="D166" s="2"/>
      <c r="E166" s="2"/>
      <c r="F166" s="2"/>
      <c r="G166" s="2"/>
      <c r="H166" s="2"/>
      <c r="I166" s="2"/>
      <c r="J166" s="2"/>
    </row>
    <row r="167" spans="1:10" ht="15">
      <c r="A167" s="2"/>
      <c r="B167" s="2"/>
      <c r="C167" s="2"/>
      <c r="D167" s="2"/>
      <c r="E167" s="2"/>
      <c r="F167" s="2"/>
      <c r="G167" s="2"/>
      <c r="H167" s="2"/>
      <c r="I167" s="2"/>
      <c r="J167" s="2"/>
    </row>
    <row r="168" spans="1:10" ht="15">
      <c r="A168" s="2"/>
      <c r="B168" s="2"/>
      <c r="C168" s="2"/>
      <c r="D168" s="2"/>
      <c r="E168" s="2"/>
      <c r="F168" s="2"/>
      <c r="G168" s="2"/>
      <c r="H168" s="2"/>
      <c r="I168" s="2"/>
      <c r="J168" s="2"/>
    </row>
    <row r="169" spans="1:10" ht="15">
      <c r="A169" s="2"/>
      <c r="B169" s="2"/>
      <c r="C169" s="2"/>
      <c r="D169" s="2"/>
      <c r="E169" s="2"/>
      <c r="F169" s="2"/>
      <c r="G169" s="2"/>
      <c r="H169" s="2"/>
      <c r="I169" s="2"/>
      <c r="J169" s="2"/>
    </row>
    <row r="170" spans="1:10" ht="15">
      <c r="A170" s="2"/>
      <c r="B170" s="2"/>
      <c r="C170" s="2"/>
      <c r="D170" s="2"/>
      <c r="E170" s="2"/>
      <c r="F170" s="2"/>
      <c r="G170" s="2"/>
      <c r="H170" s="2"/>
      <c r="I170" s="2"/>
      <c r="J170" s="2"/>
    </row>
    <row r="171" spans="1:10" ht="15">
      <c r="A171" s="2"/>
      <c r="B171" s="2"/>
      <c r="C171" s="2"/>
      <c r="D171" s="2"/>
      <c r="E171" s="2"/>
      <c r="F171" s="2"/>
      <c r="G171" s="2"/>
      <c r="H171" s="2"/>
      <c r="I171" s="2"/>
      <c r="J171" s="2"/>
    </row>
    <row r="172" spans="1:10" ht="15">
      <c r="A172" s="2"/>
      <c r="B172" s="2"/>
      <c r="C172" s="2"/>
      <c r="D172" s="2"/>
      <c r="E172" s="2"/>
      <c r="F172" s="2"/>
      <c r="G172" s="2"/>
      <c r="H172" s="2"/>
      <c r="I172" s="2"/>
      <c r="J172" s="2"/>
    </row>
    <row r="173" spans="1:10" ht="15">
      <c r="A173" s="2"/>
      <c r="B173" s="2"/>
      <c r="C173" s="2"/>
      <c r="D173" s="2"/>
      <c r="E173" s="2"/>
      <c r="F173" s="2"/>
      <c r="G173" s="2"/>
      <c r="H173" s="2"/>
      <c r="I173" s="2"/>
      <c r="J173" s="2"/>
    </row>
    <row r="174" spans="1:10" ht="15">
      <c r="A174" s="2"/>
      <c r="B174" s="2"/>
      <c r="C174" s="2"/>
      <c r="D174" s="2"/>
      <c r="E174" s="2"/>
      <c r="F174" s="2"/>
      <c r="G174" s="2"/>
      <c r="H174" s="2"/>
      <c r="I174" s="2"/>
      <c r="J174" s="2"/>
    </row>
    <row r="175" spans="1:10" ht="15">
      <c r="A175" s="2"/>
      <c r="B175" s="2"/>
      <c r="C175" s="2"/>
      <c r="D175" s="2"/>
      <c r="E175" s="2"/>
      <c r="F175" s="2"/>
      <c r="G175" s="2"/>
      <c r="H175" s="2"/>
      <c r="I175" s="2"/>
      <c r="J175" s="2"/>
    </row>
    <row r="176" spans="1:10" ht="15">
      <c r="A176" s="2"/>
      <c r="B176" s="2"/>
      <c r="C176" s="2"/>
      <c r="D176" s="2"/>
      <c r="E176" s="2"/>
      <c r="F176" s="2"/>
      <c r="G176" s="2"/>
      <c r="H176" s="2"/>
      <c r="I176" s="2"/>
      <c r="J176" s="2"/>
    </row>
    <row r="177" spans="1:10" ht="15">
      <c r="A177" s="2"/>
      <c r="B177" s="2"/>
      <c r="C177" s="2"/>
      <c r="D177" s="2"/>
      <c r="E177" s="2"/>
      <c r="F177" s="2"/>
      <c r="G177" s="2"/>
      <c r="H177" s="2"/>
      <c r="I177" s="2"/>
      <c r="J177" s="2"/>
    </row>
    <row r="178" spans="1:10" ht="15">
      <c r="A178" s="2"/>
      <c r="B178" s="2"/>
      <c r="C178" s="2"/>
      <c r="D178" s="2"/>
      <c r="E178" s="2"/>
      <c r="F178" s="2"/>
      <c r="G178" s="2"/>
      <c r="H178" s="2"/>
      <c r="I178" s="2"/>
      <c r="J178" s="2"/>
    </row>
    <row r="179" spans="1:10" ht="15">
      <c r="A179" s="2"/>
      <c r="B179" s="2"/>
      <c r="C179" s="2"/>
      <c r="D179" s="2"/>
      <c r="E179" s="2"/>
      <c r="F179" s="2"/>
      <c r="G179" s="2"/>
      <c r="H179" s="2"/>
      <c r="I179" s="2"/>
      <c r="J179" s="2"/>
    </row>
    <row r="180" spans="1:10" ht="15">
      <c r="A180" s="2"/>
      <c r="B180" s="2"/>
      <c r="C180" s="2"/>
      <c r="D180" s="2"/>
      <c r="E180" s="2"/>
      <c r="F180" s="2"/>
      <c r="G180" s="2"/>
      <c r="H180" s="2"/>
      <c r="I180" s="2"/>
      <c r="J180" s="2"/>
    </row>
    <row r="181" spans="1:10" ht="15">
      <c r="A181" s="2"/>
      <c r="B181" s="2"/>
      <c r="C181" s="2"/>
      <c r="D181" s="2"/>
      <c r="E181" s="2"/>
      <c r="F181" s="2"/>
      <c r="G181" s="2"/>
      <c r="H181" s="2"/>
      <c r="I181" s="2"/>
      <c r="J181" s="2"/>
    </row>
    <row r="182" spans="1:10" ht="15">
      <c r="A182" s="2"/>
      <c r="B182" s="2"/>
      <c r="C182" s="2"/>
      <c r="D182" s="2"/>
      <c r="E182" s="2"/>
      <c r="F182" s="2"/>
      <c r="G182" s="2"/>
      <c r="H182" s="2"/>
      <c r="I182" s="2"/>
      <c r="J182" s="2"/>
    </row>
    <row r="183" spans="1:10" ht="15">
      <c r="A183" s="2"/>
      <c r="B183" s="2"/>
      <c r="C183" s="2"/>
      <c r="D183" s="2"/>
      <c r="E183" s="2"/>
      <c r="F183" s="2"/>
      <c r="G183" s="2"/>
      <c r="H183" s="2"/>
      <c r="I183" s="2"/>
      <c r="J183" s="2"/>
    </row>
    <row r="184" spans="1:10" ht="15">
      <c r="A184" s="2"/>
      <c r="B184" s="2"/>
      <c r="C184" s="2"/>
      <c r="D184" s="2"/>
      <c r="E184" s="2"/>
      <c r="F184" s="2"/>
      <c r="G184" s="2"/>
      <c r="H184" s="2"/>
      <c r="I184" s="2"/>
      <c r="J184" s="2"/>
    </row>
    <row r="185" spans="1:10" ht="15">
      <c r="A185" s="2"/>
      <c r="B185" s="2"/>
      <c r="C185" s="2"/>
      <c r="D185" s="2"/>
      <c r="E185" s="2"/>
      <c r="F185" s="2"/>
      <c r="G185" s="2"/>
      <c r="H185" s="2"/>
      <c r="I185" s="2"/>
      <c r="J185" s="2"/>
    </row>
    <row r="186" spans="1:10" ht="15">
      <c r="A186" s="2"/>
      <c r="B186" s="2"/>
      <c r="C186" s="2"/>
      <c r="D186" s="2"/>
      <c r="E186" s="2"/>
      <c r="F186" s="2"/>
      <c r="G186" s="2"/>
      <c r="H186" s="2"/>
      <c r="I186" s="2"/>
      <c r="J186" s="2"/>
    </row>
    <row r="187" spans="1:10" ht="15">
      <c r="A187" s="2"/>
      <c r="B187" s="2"/>
      <c r="C187" s="2"/>
      <c r="D187" s="2"/>
      <c r="E187" s="2"/>
      <c r="F187" s="2"/>
      <c r="G187" s="2"/>
      <c r="H187" s="2"/>
      <c r="I187" s="2"/>
      <c r="J187" s="2"/>
    </row>
    <row r="188" spans="1:10" ht="15">
      <c r="A188" s="2"/>
      <c r="B188" s="2"/>
      <c r="C188" s="2"/>
      <c r="D188" s="2"/>
      <c r="E188" s="2"/>
      <c r="F188" s="2"/>
      <c r="G188" s="2"/>
      <c r="H188" s="2"/>
      <c r="I188" s="2"/>
      <c r="J188" s="2"/>
    </row>
    <row r="189" spans="1:10" ht="15">
      <c r="A189" s="2"/>
      <c r="B189" s="2"/>
      <c r="C189" s="2"/>
      <c r="D189" s="2"/>
      <c r="E189" s="2"/>
      <c r="F189" s="2"/>
      <c r="G189" s="2"/>
      <c r="H189" s="2"/>
      <c r="I189" s="2"/>
      <c r="J189" s="2"/>
    </row>
    <row r="190" spans="1:10" ht="15">
      <c r="A190" s="2"/>
      <c r="B190" s="2"/>
      <c r="C190" s="2"/>
      <c r="D190" s="2"/>
      <c r="E190" s="2"/>
      <c r="F190" s="2"/>
      <c r="G190" s="2"/>
      <c r="H190" s="2"/>
      <c r="I190" s="2"/>
      <c r="J190" s="2"/>
    </row>
    <row r="191" spans="1:10" ht="15">
      <c r="A191" s="2"/>
      <c r="B191" s="2"/>
      <c r="C191" s="2"/>
      <c r="D191" s="2"/>
      <c r="E191" s="2"/>
      <c r="F191" s="2"/>
      <c r="G191" s="2"/>
      <c r="H191" s="2"/>
      <c r="I191" s="2"/>
      <c r="J191" s="2"/>
    </row>
    <row r="192" spans="1:10" ht="15">
      <c r="A192" s="2"/>
      <c r="B192" s="2"/>
      <c r="C192" s="2"/>
      <c r="D192" s="2"/>
      <c r="E192" s="2"/>
      <c r="F192" s="2"/>
      <c r="G192" s="2"/>
      <c r="H192" s="2"/>
      <c r="I192" s="2"/>
      <c r="J192" s="2"/>
    </row>
    <row r="193" spans="1:10" ht="15">
      <c r="A193" s="2"/>
      <c r="B193" s="2"/>
      <c r="C193" s="2"/>
      <c r="D193" s="2"/>
      <c r="E193" s="2"/>
      <c r="F193" s="2"/>
      <c r="G193" s="2"/>
      <c r="H193" s="2"/>
      <c r="I193" s="2"/>
      <c r="J193" s="2"/>
    </row>
    <row r="194" spans="1:10" ht="15">
      <c r="A194" s="2"/>
      <c r="B194" s="2"/>
      <c r="C194" s="2"/>
      <c r="D194" s="2"/>
      <c r="E194" s="2"/>
      <c r="F194" s="2"/>
      <c r="G194" s="2"/>
      <c r="H194" s="2"/>
      <c r="I194" s="2"/>
      <c r="J194" s="2"/>
    </row>
    <row r="195" spans="1:10" ht="15">
      <c r="A195" s="2"/>
      <c r="B195" s="2"/>
      <c r="C195" s="2"/>
      <c r="D195" s="2"/>
      <c r="E195" s="2"/>
      <c r="F195" s="2"/>
      <c r="G195" s="2"/>
      <c r="H195" s="2"/>
      <c r="I195" s="2"/>
      <c r="J195" s="2"/>
    </row>
    <row r="196" spans="1:10" ht="15">
      <c r="A196" s="2"/>
      <c r="B196" s="2"/>
      <c r="C196" s="2"/>
      <c r="D196" s="2"/>
      <c r="E196" s="2"/>
      <c r="F196" s="2"/>
      <c r="G196" s="2"/>
      <c r="H196" s="2"/>
      <c r="I196" s="2"/>
      <c r="J196" s="2"/>
    </row>
    <row r="197" spans="1:10" ht="15">
      <c r="A197" s="2"/>
      <c r="B197" s="2"/>
      <c r="C197" s="2"/>
      <c r="D197" s="2"/>
      <c r="E197" s="2"/>
      <c r="F197" s="2"/>
      <c r="G197" s="2"/>
      <c r="H197" s="2"/>
      <c r="I197" s="2"/>
      <c r="J197" s="2"/>
    </row>
    <row r="198" spans="1:10" ht="15">
      <c r="A198" s="2"/>
      <c r="B198" s="2"/>
      <c r="C198" s="2"/>
      <c r="D198" s="2"/>
      <c r="E198" s="2"/>
      <c r="F198" s="2"/>
      <c r="G198" s="2"/>
      <c r="H198" s="2"/>
      <c r="I198" s="2"/>
      <c r="J198" s="2"/>
    </row>
    <row r="199" spans="1:10" ht="15">
      <c r="A199" s="2"/>
      <c r="B199" s="2"/>
      <c r="C199" s="2"/>
      <c r="D199" s="2"/>
      <c r="E199" s="2"/>
      <c r="F199" s="2"/>
      <c r="G199" s="2"/>
      <c r="H199" s="2"/>
      <c r="I199" s="2"/>
      <c r="J199" s="2"/>
    </row>
    <row r="200" spans="1:10" ht="15">
      <c r="A200" s="2"/>
      <c r="B200" s="2"/>
      <c r="C200" s="2"/>
      <c r="D200" s="2"/>
      <c r="E200" s="2"/>
      <c r="F200" s="2"/>
      <c r="G200" s="2"/>
      <c r="H200" s="2"/>
      <c r="I200" s="2"/>
      <c r="J200" s="2"/>
    </row>
    <row r="201" spans="1:10" ht="15">
      <c r="A201" s="2"/>
      <c r="B201" s="2"/>
      <c r="C201" s="2"/>
      <c r="D201" s="2"/>
      <c r="E201" s="2"/>
      <c r="F201" s="2"/>
      <c r="G201" s="2"/>
      <c r="H201" s="2"/>
      <c r="I201" s="2"/>
      <c r="J201" s="2"/>
    </row>
    <row r="202" spans="1:10" ht="15">
      <c r="A202" s="2"/>
      <c r="B202" s="2"/>
      <c r="C202" s="2"/>
      <c r="D202" s="2"/>
      <c r="E202" s="2"/>
      <c r="F202" s="2"/>
      <c r="G202" s="2"/>
      <c r="H202" s="2"/>
      <c r="I202" s="2"/>
      <c r="J202" s="2"/>
    </row>
    <row r="203" spans="1:10" ht="15">
      <c r="A203" s="2"/>
      <c r="B203" s="2"/>
      <c r="C203" s="2"/>
      <c r="D203" s="2"/>
      <c r="E203" s="2"/>
      <c r="F203" s="2"/>
      <c r="G203" s="2"/>
      <c r="H203" s="2"/>
      <c r="I203" s="2"/>
      <c r="J203" s="2"/>
    </row>
    <row r="204" spans="1:10" ht="15">
      <c r="A204" s="2"/>
      <c r="B204" s="2"/>
      <c r="C204" s="2"/>
      <c r="D204" s="2"/>
      <c r="E204" s="2"/>
      <c r="F204" s="2"/>
      <c r="G204" s="2"/>
      <c r="H204" s="2"/>
      <c r="I204" s="2"/>
      <c r="J204" s="2"/>
    </row>
    <row r="205" spans="1:10" ht="15">
      <c r="A205" s="2"/>
      <c r="B205" s="2"/>
      <c r="C205" s="2"/>
      <c r="D205" s="2"/>
      <c r="E205" s="2"/>
      <c r="F205" s="2"/>
      <c r="G205" s="2"/>
      <c r="H205" s="2"/>
      <c r="I205" s="2"/>
      <c r="J205" s="2"/>
    </row>
    <row r="206" spans="1:10" ht="15">
      <c r="A206" s="2"/>
      <c r="B206" s="2"/>
      <c r="C206" s="2"/>
      <c r="D206" s="2"/>
      <c r="E206" s="2"/>
      <c r="F206" s="2"/>
      <c r="G206" s="2"/>
      <c r="H206" s="2"/>
      <c r="I206" s="2"/>
      <c r="J206" s="2"/>
    </row>
    <row r="207" spans="1:10" ht="15">
      <c r="A207" s="2"/>
      <c r="B207" s="2"/>
      <c r="C207" s="2"/>
      <c r="D207" s="2"/>
      <c r="E207" s="2"/>
      <c r="F207" s="2"/>
      <c r="G207" s="2"/>
      <c r="H207" s="2"/>
      <c r="I207" s="2"/>
      <c r="J207" s="2"/>
    </row>
    <row r="208" spans="1:10" ht="15">
      <c r="A208" s="2"/>
      <c r="B208" s="2"/>
      <c r="C208" s="2"/>
      <c r="D208" s="2"/>
      <c r="E208" s="2"/>
      <c r="F208" s="2"/>
      <c r="G208" s="2"/>
      <c r="H208" s="2"/>
      <c r="I208" s="2"/>
      <c r="J208" s="2"/>
    </row>
    <row r="209" spans="1:10" ht="15">
      <c r="A209" s="2"/>
      <c r="B209" s="2"/>
      <c r="C209" s="2"/>
      <c r="D209" s="2"/>
      <c r="E209" s="2"/>
      <c r="F209" s="2"/>
      <c r="G209" s="2"/>
      <c r="H209" s="2"/>
      <c r="I209" s="2"/>
      <c r="J209" s="2"/>
    </row>
    <row r="210" spans="1:10" ht="15">
      <c r="A210" s="2"/>
      <c r="B210" s="2"/>
      <c r="C210" s="2"/>
      <c r="D210" s="2"/>
      <c r="E210" s="2"/>
      <c r="F210" s="2"/>
      <c r="G210" s="2"/>
      <c r="H210" s="2"/>
      <c r="I210" s="2"/>
      <c r="J210" s="2"/>
    </row>
    <row r="211" spans="1:10" ht="15">
      <c r="A211" s="2"/>
      <c r="B211" s="2"/>
      <c r="C211" s="2"/>
      <c r="D211" s="2"/>
      <c r="E211" s="2"/>
      <c r="F211" s="2"/>
      <c r="G211" s="2"/>
      <c r="H211" s="2"/>
      <c r="I211" s="2"/>
      <c r="J211" s="2"/>
    </row>
    <row r="212" spans="1:10" ht="15">
      <c r="A212" s="2"/>
      <c r="B212" s="2"/>
      <c r="C212" s="2"/>
      <c r="D212" s="2"/>
      <c r="E212" s="2"/>
      <c r="F212" s="2"/>
      <c r="G212" s="2"/>
      <c r="H212" s="2"/>
      <c r="I212" s="2"/>
      <c r="J212" s="2"/>
    </row>
    <row r="213" spans="1:10" ht="15">
      <c r="A213" s="2"/>
      <c r="B213" s="2"/>
      <c r="C213" s="2"/>
      <c r="D213" s="2"/>
      <c r="E213" s="2"/>
      <c r="F213" s="2"/>
      <c r="G213" s="2"/>
      <c r="H213" s="2"/>
      <c r="I213" s="2"/>
      <c r="J213" s="2"/>
    </row>
    <row r="214" spans="1:10" ht="15">
      <c r="A214" s="2"/>
      <c r="B214" s="2"/>
      <c r="C214" s="2"/>
      <c r="D214" s="2"/>
      <c r="E214" s="2"/>
      <c r="F214" s="2"/>
      <c r="G214" s="2"/>
      <c r="H214" s="2"/>
      <c r="I214" s="2"/>
      <c r="J214" s="2"/>
    </row>
    <row r="215" spans="1:10" ht="15">
      <c r="A215" s="2"/>
      <c r="B215" s="2"/>
      <c r="C215" s="2"/>
      <c r="D215" s="2"/>
      <c r="E215" s="2"/>
      <c r="F215" s="2"/>
      <c r="G215" s="2"/>
      <c r="H215" s="2"/>
      <c r="I215" s="2"/>
      <c r="J215" s="2"/>
    </row>
    <row r="216" spans="1:10" ht="15">
      <c r="A216" s="2"/>
      <c r="B216" s="2"/>
      <c r="C216" s="2"/>
      <c r="D216" s="2"/>
      <c r="E216" s="2"/>
      <c r="F216" s="2"/>
      <c r="G216" s="2"/>
      <c r="H216" s="2"/>
      <c r="I216" s="2"/>
      <c r="J216" s="2"/>
    </row>
    <row r="217" spans="1:10" ht="15">
      <c r="A217" s="2"/>
      <c r="B217" s="2"/>
      <c r="C217" s="2"/>
      <c r="D217" s="2"/>
      <c r="E217" s="2"/>
      <c r="F217" s="2"/>
      <c r="G217" s="2"/>
      <c r="H217" s="2"/>
      <c r="I217" s="2"/>
      <c r="J217" s="2"/>
    </row>
    <row r="218" spans="1:10" ht="15">
      <c r="A218" s="2"/>
      <c r="B218" s="2"/>
      <c r="C218" s="2"/>
      <c r="D218" s="2"/>
      <c r="E218" s="2"/>
      <c r="F218" s="2"/>
      <c r="G218" s="2"/>
      <c r="H218" s="2"/>
      <c r="I218" s="2"/>
      <c r="J218" s="2"/>
    </row>
    <row r="219" spans="1:10" ht="15">
      <c r="A219" s="2"/>
      <c r="B219" s="2"/>
      <c r="C219" s="2"/>
      <c r="D219" s="2"/>
      <c r="E219" s="2"/>
      <c r="F219" s="2"/>
      <c r="G219" s="2"/>
      <c r="H219" s="2"/>
      <c r="I219" s="2"/>
      <c r="J219" s="2"/>
    </row>
    <row r="220" spans="1:10" ht="15">
      <c r="A220" s="2"/>
      <c r="B220" s="2"/>
      <c r="C220" s="2"/>
      <c r="D220" s="2"/>
      <c r="E220" s="2"/>
      <c r="F220" s="2"/>
      <c r="G220" s="2"/>
      <c r="H220" s="2"/>
      <c r="I220" s="2"/>
      <c r="J220" s="2"/>
    </row>
    <row r="221" spans="1:10" ht="15">
      <c r="A221" s="2"/>
      <c r="B221" s="2"/>
      <c r="C221" s="2"/>
      <c r="D221" s="2"/>
      <c r="E221" s="2"/>
      <c r="F221" s="2"/>
      <c r="G221" s="2"/>
      <c r="H221" s="2"/>
      <c r="I221" s="2"/>
      <c r="J221" s="2"/>
    </row>
    <row r="222" spans="1:10" ht="15">
      <c r="A222" s="2"/>
      <c r="B222" s="2"/>
      <c r="C222" s="2"/>
      <c r="D222" s="2"/>
      <c r="E222" s="2"/>
      <c r="F222" s="2"/>
      <c r="G222" s="2"/>
      <c r="H222" s="2"/>
      <c r="I222" s="2"/>
      <c r="J222" s="2"/>
    </row>
    <row r="223" spans="1:10" ht="15">
      <c r="A223" s="2"/>
      <c r="B223" s="2"/>
      <c r="C223" s="2"/>
      <c r="D223" s="2"/>
      <c r="E223" s="2"/>
      <c r="F223" s="2"/>
      <c r="G223" s="2"/>
      <c r="H223" s="2"/>
      <c r="I223" s="2"/>
      <c r="J223" s="2"/>
    </row>
    <row r="224" spans="1:10" ht="15">
      <c r="A224" s="2"/>
      <c r="B224" s="2"/>
      <c r="C224" s="2"/>
      <c r="D224" s="2"/>
      <c r="E224" s="2"/>
      <c r="F224" s="2"/>
      <c r="G224" s="2"/>
      <c r="H224" s="2"/>
      <c r="I224" s="2"/>
      <c r="J224" s="2"/>
    </row>
    <row r="225" spans="1:10" ht="15">
      <c r="A225" s="2"/>
      <c r="B225" s="2"/>
      <c r="C225" s="2"/>
      <c r="D225" s="2"/>
      <c r="E225" s="2"/>
      <c r="F225" s="2"/>
      <c r="G225" s="2"/>
      <c r="H225" s="2"/>
      <c r="I225" s="2"/>
      <c r="J225" s="2"/>
    </row>
    <row r="226" spans="1:10" ht="15">
      <c r="A226" s="2"/>
      <c r="B226" s="2"/>
      <c r="C226" s="2"/>
      <c r="D226" s="2"/>
      <c r="E226" s="2"/>
      <c r="F226" s="2"/>
      <c r="G226" s="2"/>
      <c r="H226" s="2"/>
      <c r="I226" s="2"/>
      <c r="J226" s="2"/>
    </row>
    <row r="227" spans="1:10" ht="15">
      <c r="A227" s="2"/>
      <c r="B227" s="2"/>
      <c r="C227" s="2"/>
      <c r="D227" s="2"/>
      <c r="E227" s="2"/>
      <c r="F227" s="2"/>
      <c r="G227" s="2"/>
      <c r="H227" s="2"/>
      <c r="I227" s="2"/>
      <c r="J227" s="2"/>
    </row>
    <row r="228" spans="1:10" ht="15">
      <c r="A228" s="2"/>
      <c r="B228" s="2"/>
      <c r="C228" s="2"/>
      <c r="D228" s="2"/>
      <c r="E228" s="2"/>
      <c r="F228" s="2"/>
      <c r="G228" s="2"/>
      <c r="H228" s="2"/>
      <c r="I228" s="2"/>
      <c r="J228" s="2"/>
    </row>
    <row r="229" spans="1:10" ht="15">
      <c r="A229" s="2"/>
      <c r="B229" s="2"/>
      <c r="C229" s="2"/>
      <c r="D229" s="2"/>
      <c r="E229" s="2"/>
      <c r="F229" s="2"/>
      <c r="G229" s="2"/>
      <c r="H229" s="2"/>
      <c r="I229" s="2"/>
      <c r="J229" s="2"/>
    </row>
    <row r="230" spans="1:10" ht="15">
      <c r="A230" s="2"/>
      <c r="B230" s="2"/>
      <c r="C230" s="2"/>
      <c r="D230" s="2"/>
      <c r="E230" s="2"/>
      <c r="F230" s="2"/>
      <c r="G230" s="2"/>
      <c r="H230" s="2"/>
      <c r="I230" s="2"/>
      <c r="J230" s="2"/>
    </row>
    <row r="231" spans="1:10" ht="15">
      <c r="A231" s="2"/>
      <c r="B231" s="2"/>
      <c r="C231" s="2"/>
      <c r="D231" s="2"/>
      <c r="E231" s="2"/>
      <c r="F231" s="2"/>
      <c r="G231" s="2"/>
      <c r="H231" s="2"/>
      <c r="I231" s="2"/>
      <c r="J231" s="2"/>
    </row>
    <row r="232" spans="1:10" ht="15">
      <c r="A232" s="2"/>
      <c r="B232" s="2"/>
      <c r="C232" s="2"/>
      <c r="D232" s="2"/>
      <c r="E232" s="2"/>
      <c r="F232" s="2"/>
      <c r="G232" s="2"/>
      <c r="H232" s="2"/>
      <c r="I232" s="2"/>
      <c r="J232" s="2"/>
    </row>
    <row r="233" spans="1:10" ht="15">
      <c r="A233" s="2"/>
      <c r="B233" s="2"/>
      <c r="C233" s="2"/>
      <c r="D233" s="2"/>
      <c r="E233" s="2"/>
      <c r="F233" s="2"/>
      <c r="G233" s="2"/>
      <c r="H233" s="2"/>
      <c r="I233" s="2"/>
      <c r="J233" s="2"/>
    </row>
    <row r="234" spans="1:10" ht="15">
      <c r="A234" s="2"/>
      <c r="B234" s="2"/>
      <c r="C234" s="2"/>
      <c r="D234" s="2"/>
      <c r="E234" s="2"/>
      <c r="F234" s="2"/>
      <c r="G234" s="2"/>
      <c r="H234" s="2"/>
      <c r="I234" s="2"/>
      <c r="J234" s="2"/>
    </row>
    <row r="235" spans="1:10" ht="15">
      <c r="A235" s="2"/>
      <c r="B235" s="2"/>
      <c r="C235" s="2"/>
      <c r="D235" s="2"/>
      <c r="E235" s="2"/>
      <c r="F235" s="2"/>
      <c r="G235" s="2"/>
      <c r="H235" s="2"/>
      <c r="I235" s="2"/>
      <c r="J235" s="2"/>
    </row>
    <row r="236" spans="1:10" ht="15">
      <c r="A236" s="2"/>
      <c r="B236" s="2"/>
      <c r="C236" s="2"/>
      <c r="D236" s="2"/>
      <c r="E236" s="2"/>
      <c r="F236" s="2"/>
      <c r="G236" s="2"/>
      <c r="H236" s="2"/>
      <c r="I236" s="2"/>
      <c r="J236" s="2"/>
    </row>
    <row r="237" spans="1:10" ht="15">
      <c r="A237" s="2"/>
      <c r="B237" s="2"/>
      <c r="C237" s="2"/>
      <c r="D237" s="2"/>
      <c r="E237" s="2"/>
      <c r="F237" s="2"/>
      <c r="G237" s="2"/>
      <c r="H237" s="2"/>
      <c r="I237" s="2"/>
      <c r="J237" s="2"/>
    </row>
    <row r="238" spans="1:10" ht="15">
      <c r="A238" s="2"/>
      <c r="B238" s="2"/>
      <c r="C238" s="2"/>
      <c r="D238" s="2"/>
      <c r="E238" s="2"/>
      <c r="F238" s="2"/>
      <c r="G238" s="2"/>
      <c r="H238" s="2"/>
      <c r="I238" s="2"/>
      <c r="J238" s="2"/>
    </row>
    <row r="239" spans="1:10" ht="15">
      <c r="A239" s="2"/>
      <c r="B239" s="2"/>
      <c r="C239" s="2"/>
      <c r="D239" s="2"/>
      <c r="E239" s="2"/>
      <c r="F239" s="2"/>
      <c r="G239" s="2"/>
      <c r="H239" s="2"/>
      <c r="I239" s="2"/>
      <c r="J239" s="2"/>
    </row>
    <row r="240" spans="1:10" ht="15">
      <c r="A240" s="2"/>
      <c r="B240" s="2"/>
      <c r="C240" s="2"/>
      <c r="D240" s="2"/>
      <c r="E240" s="2"/>
      <c r="F240" s="2"/>
      <c r="G240" s="2"/>
      <c r="H240" s="2"/>
      <c r="I240" s="2"/>
      <c r="J240" s="2"/>
    </row>
    <row r="241" spans="1:10" ht="15">
      <c r="A241" s="2"/>
      <c r="B241" s="2"/>
      <c r="C241" s="2"/>
      <c r="D241" s="2"/>
      <c r="E241" s="2"/>
      <c r="F241" s="2"/>
      <c r="G241" s="2"/>
      <c r="H241" s="2"/>
      <c r="I241" s="2"/>
      <c r="J241" s="2"/>
    </row>
    <row r="242" spans="1:10" ht="15">
      <c r="A242" s="2"/>
      <c r="B242" s="2"/>
      <c r="C242" s="2"/>
      <c r="D242" s="2"/>
      <c r="E242" s="2"/>
      <c r="F242" s="2"/>
      <c r="G242" s="2"/>
      <c r="H242" s="2"/>
      <c r="I242" s="2"/>
      <c r="J242" s="2"/>
    </row>
    <row r="243" spans="1:10" ht="15">
      <c r="A243" s="2"/>
      <c r="B243" s="2"/>
      <c r="C243" s="2"/>
      <c r="D243" s="2"/>
      <c r="E243" s="2"/>
      <c r="F243" s="2"/>
      <c r="G243" s="2"/>
      <c r="H243" s="2"/>
      <c r="I243" s="2"/>
      <c r="J243" s="2"/>
    </row>
    <row r="244" spans="1:10" ht="15">
      <c r="A244" s="2"/>
      <c r="B244" s="2"/>
      <c r="C244" s="2"/>
      <c r="D244" s="2"/>
      <c r="E244" s="2"/>
      <c r="F244" s="2"/>
      <c r="G244" s="2"/>
      <c r="H244" s="2"/>
      <c r="I244" s="2"/>
      <c r="J244" s="2"/>
    </row>
    <row r="245" spans="1:10" ht="15">
      <c r="A245" s="2"/>
      <c r="B245" s="2"/>
      <c r="C245" s="2"/>
      <c r="D245" s="2"/>
      <c r="E245" s="2"/>
      <c r="F245" s="2"/>
      <c r="G245" s="2"/>
      <c r="H245" s="2"/>
      <c r="I245" s="2"/>
      <c r="J245" s="2"/>
    </row>
    <row r="246" spans="1:10" ht="15">
      <c r="A246" s="2"/>
      <c r="B246" s="2"/>
      <c r="C246" s="2"/>
      <c r="D246" s="2"/>
      <c r="E246" s="2"/>
      <c r="F246" s="2"/>
      <c r="G246" s="2"/>
      <c r="H246" s="2"/>
      <c r="I246" s="2"/>
      <c r="J246" s="2"/>
    </row>
    <row r="247" spans="1:10" ht="15">
      <c r="A247" s="2"/>
      <c r="B247" s="2"/>
      <c r="C247" s="2"/>
      <c r="D247" s="2"/>
      <c r="E247" s="2"/>
      <c r="F247" s="2"/>
      <c r="G247" s="2"/>
      <c r="H247" s="2"/>
      <c r="I247" s="2"/>
      <c r="J247" s="2"/>
    </row>
    <row r="248" spans="1:10" ht="15">
      <c r="A248" s="2"/>
      <c r="B248" s="2"/>
      <c r="C248" s="2"/>
      <c r="D248" s="2"/>
      <c r="E248" s="2"/>
      <c r="F248" s="2"/>
      <c r="G248" s="2"/>
      <c r="H248" s="2"/>
      <c r="I248" s="2"/>
      <c r="J248" s="2"/>
    </row>
    <row r="249" spans="1:10" ht="15">
      <c r="A249" s="2"/>
      <c r="B249" s="2"/>
      <c r="C249" s="2"/>
      <c r="D249" s="2"/>
      <c r="E249" s="2"/>
      <c r="F249" s="2"/>
      <c r="G249" s="2"/>
      <c r="H249" s="2"/>
      <c r="I249" s="2"/>
      <c r="J249" s="2"/>
    </row>
    <row r="250" spans="1:10" ht="15">
      <c r="A250" s="2"/>
      <c r="B250" s="2"/>
      <c r="C250" s="2"/>
      <c r="D250" s="2"/>
      <c r="E250" s="2"/>
      <c r="F250" s="2"/>
      <c r="G250" s="2"/>
      <c r="H250" s="2"/>
      <c r="I250" s="2"/>
      <c r="J250" s="2"/>
    </row>
    <row r="251" spans="1:10" ht="15">
      <c r="A251" s="2"/>
      <c r="B251" s="2"/>
      <c r="C251" s="2"/>
      <c r="D251" s="2"/>
      <c r="E251" s="2"/>
      <c r="F251" s="2"/>
      <c r="G251" s="2"/>
      <c r="H251" s="2"/>
      <c r="I251" s="2"/>
      <c r="J251" s="2"/>
    </row>
    <row r="252" spans="1:10" ht="15">
      <c r="A252" s="2"/>
      <c r="B252" s="2"/>
      <c r="C252" s="2"/>
      <c r="D252" s="2"/>
      <c r="E252" s="2"/>
      <c r="F252" s="2"/>
      <c r="G252" s="2"/>
      <c r="H252" s="2"/>
      <c r="I252" s="2"/>
      <c r="J252" s="2"/>
    </row>
    <row r="253" spans="1:10" ht="15">
      <c r="A253" s="2"/>
      <c r="B253" s="2"/>
      <c r="C253" s="2"/>
      <c r="D253" s="2"/>
      <c r="E253" s="2"/>
      <c r="F253" s="2"/>
      <c r="G253" s="2"/>
      <c r="H253" s="2"/>
      <c r="I253" s="2"/>
      <c r="J253" s="2"/>
    </row>
    <row r="254" spans="1:10" ht="15">
      <c r="A254" s="2"/>
      <c r="B254" s="2"/>
      <c r="C254" s="2"/>
      <c r="D254" s="2"/>
      <c r="E254" s="2"/>
      <c r="F254" s="2"/>
      <c r="G254" s="2"/>
      <c r="H254" s="2"/>
      <c r="I254" s="2"/>
      <c r="J254" s="2"/>
    </row>
    <row r="255" spans="1:10" ht="15">
      <c r="A255" s="2"/>
      <c r="B255" s="2"/>
      <c r="C255" s="2"/>
      <c r="D255" s="2"/>
      <c r="E255" s="2"/>
      <c r="F255" s="2"/>
      <c r="G255" s="2"/>
      <c r="H255" s="2"/>
      <c r="I255" s="2"/>
      <c r="J255" s="2"/>
    </row>
    <row r="256" spans="1:10" ht="15">
      <c r="A256" s="2"/>
      <c r="B256" s="2"/>
      <c r="C256" s="2"/>
      <c r="D256" s="2"/>
      <c r="E256" s="2"/>
      <c r="F256" s="2"/>
      <c r="G256" s="2"/>
      <c r="H256" s="2"/>
      <c r="I256" s="2"/>
      <c r="J256" s="2"/>
    </row>
    <row r="257" spans="1:10" ht="15">
      <c r="A257" s="2"/>
      <c r="B257" s="2"/>
      <c r="C257" s="2"/>
      <c r="D257" s="2"/>
      <c r="E257" s="2"/>
      <c r="F257" s="2"/>
      <c r="G257" s="2"/>
      <c r="H257" s="2"/>
      <c r="I257" s="2"/>
      <c r="J257" s="2"/>
    </row>
    <row r="258" spans="1:10" ht="15">
      <c r="A258" s="2"/>
      <c r="B258" s="2"/>
      <c r="C258" s="2"/>
      <c r="D258" s="2"/>
      <c r="E258" s="2"/>
      <c r="F258" s="2"/>
      <c r="G258" s="2"/>
      <c r="H258" s="2"/>
      <c r="I258" s="2"/>
      <c r="J258" s="2"/>
    </row>
    <row r="259" spans="1:10" ht="15">
      <c r="A259" s="2"/>
      <c r="B259" s="2"/>
      <c r="C259" s="2"/>
      <c r="D259" s="2"/>
      <c r="E259" s="2"/>
      <c r="F259" s="2"/>
      <c r="G259" s="2"/>
      <c r="H259" s="2"/>
      <c r="I259" s="2"/>
      <c r="J259" s="2"/>
    </row>
    <row r="260" spans="1:10" ht="15">
      <c r="A260" s="2"/>
      <c r="B260" s="2"/>
      <c r="C260" s="2"/>
      <c r="D260" s="2"/>
      <c r="E260" s="2"/>
      <c r="F260" s="2"/>
      <c r="G260" s="2"/>
      <c r="H260" s="2"/>
      <c r="I260" s="2"/>
      <c r="J260" s="2"/>
    </row>
    <row r="261" spans="1:10" ht="15">
      <c r="A261" s="2"/>
      <c r="B261" s="2"/>
      <c r="C261" s="2"/>
      <c r="D261" s="2"/>
      <c r="E261" s="2"/>
      <c r="F261" s="2"/>
      <c r="G261" s="2"/>
      <c r="H261" s="2"/>
      <c r="I261" s="2"/>
      <c r="J261" s="2"/>
    </row>
    <row r="262" spans="1:10" ht="15">
      <c r="A262" s="2"/>
      <c r="B262" s="2"/>
      <c r="C262" s="2"/>
      <c r="D262" s="2"/>
      <c r="E262" s="2"/>
      <c r="F262" s="2"/>
      <c r="G262" s="2"/>
      <c r="H262" s="2"/>
      <c r="I262" s="2"/>
      <c r="J262" s="2"/>
    </row>
    <row r="263" spans="1:10" ht="15">
      <c r="A263" s="2"/>
      <c r="B263" s="2"/>
      <c r="C263" s="2"/>
      <c r="D263" s="2"/>
      <c r="E263" s="2"/>
      <c r="F263" s="2"/>
      <c r="G263" s="2"/>
      <c r="H263" s="2"/>
      <c r="I263" s="2"/>
      <c r="J263" s="2"/>
    </row>
    <row r="264" spans="1:10" ht="15">
      <c r="A264" s="2"/>
      <c r="B264" s="2"/>
      <c r="C264" s="2"/>
      <c r="D264" s="2"/>
      <c r="E264" s="2"/>
      <c r="F264" s="2"/>
      <c r="G264" s="2"/>
      <c r="H264" s="2"/>
      <c r="I264" s="2"/>
      <c r="J264" s="2"/>
    </row>
    <row r="265" spans="1:10" ht="15">
      <c r="A265" s="2"/>
      <c r="B265" s="2"/>
      <c r="C265" s="2"/>
      <c r="D265" s="2"/>
      <c r="E265" s="2"/>
      <c r="F265" s="2"/>
      <c r="G265" s="2"/>
      <c r="H265" s="2"/>
      <c r="I265" s="2"/>
      <c r="J265" s="2"/>
    </row>
    <row r="266" spans="1:10" ht="15">
      <c r="A266" s="2"/>
      <c r="B266" s="2"/>
      <c r="C266" s="2"/>
      <c r="D266" s="2"/>
      <c r="E266" s="2"/>
      <c r="F266" s="2"/>
      <c r="G266" s="2"/>
      <c r="H266" s="2"/>
      <c r="I266" s="2"/>
      <c r="J266" s="2"/>
    </row>
    <row r="267" spans="1:10" ht="15">
      <c r="A267" s="2"/>
      <c r="B267" s="2"/>
      <c r="C267" s="2"/>
      <c r="D267" s="2"/>
      <c r="E267" s="2"/>
      <c r="F267" s="2"/>
      <c r="G267" s="2"/>
      <c r="H267" s="2"/>
      <c r="I267" s="2"/>
      <c r="J267" s="2"/>
    </row>
    <row r="268" spans="1:10" ht="15">
      <c r="A268" s="2"/>
      <c r="B268" s="2"/>
      <c r="C268" s="2"/>
      <c r="D268" s="2"/>
      <c r="E268" s="2"/>
      <c r="F268" s="2"/>
      <c r="G268" s="2"/>
      <c r="H268" s="2"/>
      <c r="I268" s="2"/>
      <c r="J268" s="2"/>
    </row>
    <row r="269" spans="1:10" ht="15">
      <c r="A269" s="2"/>
      <c r="B269" s="2"/>
      <c r="C269" s="2"/>
      <c r="D269" s="2"/>
      <c r="E269" s="2"/>
      <c r="F269" s="2"/>
      <c r="G269" s="2"/>
      <c r="H269" s="2"/>
      <c r="I269" s="2"/>
      <c r="J269" s="2"/>
    </row>
    <row r="270" spans="1:10" ht="15">
      <c r="A270" s="2"/>
      <c r="B270" s="2"/>
      <c r="C270" s="2"/>
      <c r="D270" s="2"/>
      <c r="E270" s="2"/>
      <c r="F270" s="2"/>
      <c r="G270" s="2"/>
      <c r="H270" s="2"/>
      <c r="I270" s="2"/>
      <c r="J270" s="2"/>
    </row>
    <row r="271" spans="1:10" ht="15">
      <c r="A271" s="2"/>
      <c r="B271" s="2"/>
      <c r="C271" s="2"/>
      <c r="D271" s="2"/>
      <c r="E271" s="2"/>
      <c r="F271" s="2"/>
      <c r="G271" s="2"/>
      <c r="H271" s="2"/>
      <c r="I271" s="2"/>
      <c r="J271" s="2"/>
    </row>
    <row r="272" spans="1:10" ht="15">
      <c r="A272" s="2"/>
      <c r="B272" s="2"/>
      <c r="C272" s="2"/>
      <c r="D272" s="2"/>
      <c r="E272" s="2"/>
      <c r="F272" s="2"/>
      <c r="G272" s="2"/>
      <c r="H272" s="2"/>
      <c r="I272" s="2"/>
      <c r="J272" s="2"/>
    </row>
    <row r="273" spans="1:10" ht="15">
      <c r="A273" s="4"/>
      <c r="B273" s="4"/>
      <c r="C273" s="4"/>
      <c r="D273" s="4"/>
      <c r="E273" s="4"/>
      <c r="F273" s="4"/>
      <c r="G273" s="4"/>
      <c r="H273" s="4"/>
      <c r="I273" s="4"/>
      <c r="J273" s="4"/>
    </row>
    <row r="274" spans="1:10" ht="15">
      <c r="A274" s="4"/>
      <c r="B274" s="4"/>
      <c r="C274" s="4"/>
      <c r="D274" s="4"/>
      <c r="E274" s="4"/>
      <c r="F274" s="4"/>
      <c r="G274" s="4"/>
      <c r="H274" s="4"/>
      <c r="I274" s="4"/>
      <c r="J274" s="4"/>
    </row>
  </sheetData>
  <sheetProtection/>
  <mergeCells count="2">
    <mergeCell ref="B1:I1"/>
    <mergeCell ref="B2:I2"/>
  </mergeCells>
  <printOptions/>
  <pageMargins left="0.7" right="0.7" top="0.75" bottom="0.75" header="0.3" footer="0.3"/>
  <pageSetup horizontalDpi="600" verticalDpi="600" orientation="portrait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5"/>
  <sheetViews>
    <sheetView zoomScalePageLayoutView="0" workbookViewId="0" topLeftCell="A22">
      <selection activeCell="I3" sqref="I2:I3"/>
    </sheetView>
  </sheetViews>
  <sheetFormatPr defaultColWidth="9.140625" defaultRowHeight="15"/>
  <cols>
    <col min="1" max="1" width="4.140625" style="0" customWidth="1"/>
    <col min="2" max="2" width="27.00390625" style="0" customWidth="1"/>
    <col min="3" max="3" width="11.140625" style="0" customWidth="1"/>
    <col min="6" max="6" width="10.28125" style="0" customWidth="1"/>
    <col min="8" max="8" width="6.8515625" style="0" customWidth="1"/>
    <col min="9" max="9" width="7.57421875" style="0" customWidth="1"/>
    <col min="11" max="11" width="12.28125" style="0" customWidth="1"/>
    <col min="12" max="12" width="11.00390625" style="0" customWidth="1"/>
    <col min="17" max="17" width="6.57421875" style="0" customWidth="1"/>
  </cols>
  <sheetData>
    <row r="1" spans="1:20" ht="15">
      <c r="A1" s="63"/>
      <c r="B1" s="63"/>
      <c r="C1" s="70" t="s">
        <v>45</v>
      </c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</row>
    <row r="2" spans="1:20" ht="15">
      <c r="A2" s="63"/>
      <c r="B2" s="71" t="s">
        <v>46</v>
      </c>
      <c r="C2" s="63"/>
      <c r="D2" s="63"/>
      <c r="E2" s="63"/>
      <c r="F2" s="63"/>
      <c r="G2" s="63"/>
      <c r="H2" s="63"/>
      <c r="I2" s="63"/>
      <c r="J2" s="72">
        <f>'HQ500'!J2</f>
        <v>0.0128</v>
      </c>
      <c r="K2" s="63"/>
      <c r="L2" s="63"/>
      <c r="M2" s="63"/>
      <c r="N2" s="63"/>
      <c r="O2" s="63"/>
      <c r="P2" s="63"/>
      <c r="Q2" s="63"/>
      <c r="R2" s="63"/>
      <c r="S2" s="63"/>
      <c r="T2" s="63"/>
    </row>
    <row r="3" spans="1:20" ht="6" customHeight="1">
      <c r="A3" s="70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</row>
    <row r="4" spans="1:20" ht="15">
      <c r="A4" s="63"/>
      <c r="B4" s="63"/>
      <c r="C4" s="63"/>
      <c r="D4" s="63" t="s">
        <v>0</v>
      </c>
      <c r="E4" s="63" t="s">
        <v>1</v>
      </c>
      <c r="F4" s="63" t="s">
        <v>6</v>
      </c>
      <c r="G4" s="63" t="s">
        <v>127</v>
      </c>
      <c r="H4" s="63"/>
      <c r="I4" s="63"/>
      <c r="J4" s="63"/>
      <c r="K4" s="63" t="s">
        <v>39</v>
      </c>
      <c r="L4" s="63"/>
      <c r="M4" s="63"/>
      <c r="N4" s="63"/>
      <c r="O4" s="63"/>
      <c r="P4" s="63"/>
      <c r="Q4" s="63"/>
      <c r="R4" s="63">
        <v>100</v>
      </c>
      <c r="S4" s="74">
        <f>S52</f>
        <v>105.09965824043539</v>
      </c>
      <c r="T4" s="63"/>
    </row>
    <row r="5" spans="1:20" ht="15">
      <c r="A5" s="70" t="s">
        <v>14</v>
      </c>
      <c r="B5" s="63"/>
      <c r="C5" s="63"/>
      <c r="D5" s="63"/>
      <c r="E5" s="63"/>
      <c r="F5" s="63"/>
      <c r="G5" s="63"/>
      <c r="H5" s="63"/>
      <c r="I5" s="63"/>
      <c r="J5" s="63"/>
      <c r="K5" s="73" t="s">
        <v>28</v>
      </c>
      <c r="L5" s="73">
        <v>2015</v>
      </c>
      <c r="M5" s="63"/>
      <c r="N5" s="63"/>
      <c r="O5" s="63"/>
      <c r="P5" s="63"/>
      <c r="Q5" s="63"/>
      <c r="R5" s="63">
        <v>0.068</v>
      </c>
      <c r="S5" s="63"/>
      <c r="T5" s="63"/>
    </row>
    <row r="6" spans="1:20" ht="15">
      <c r="A6" s="63"/>
      <c r="B6" s="63" t="s">
        <v>15</v>
      </c>
      <c r="C6" s="63"/>
      <c r="D6" s="73" t="s">
        <v>16</v>
      </c>
      <c r="E6" s="73" t="s">
        <v>18</v>
      </c>
      <c r="F6" s="73" t="s">
        <v>17</v>
      </c>
      <c r="G6" s="63"/>
      <c r="H6" s="63"/>
      <c r="I6" s="63"/>
      <c r="J6" s="63">
        <v>2015</v>
      </c>
      <c r="K6" s="74">
        <f>F30</f>
        <v>99.44102575899059</v>
      </c>
      <c r="L6" s="74"/>
      <c r="M6" s="63"/>
      <c r="N6" s="63">
        <v>400</v>
      </c>
      <c r="O6" s="63">
        <f>N6*0.013</f>
        <v>5.2</v>
      </c>
      <c r="P6" s="63"/>
      <c r="Q6" s="63"/>
      <c r="R6" s="63">
        <f>R4*R5</f>
        <v>6.800000000000001</v>
      </c>
      <c r="S6" s="63"/>
      <c r="T6" s="63"/>
    </row>
    <row r="7" spans="1:20" ht="15">
      <c r="A7" s="63"/>
      <c r="B7" s="60" t="s">
        <v>41</v>
      </c>
      <c r="C7" s="75">
        <v>1</v>
      </c>
      <c r="D7" s="60"/>
      <c r="E7" s="60">
        <v>75</v>
      </c>
      <c r="F7" s="76">
        <v>0</v>
      </c>
      <c r="G7" s="60"/>
      <c r="H7" s="63"/>
      <c r="I7" s="63"/>
      <c r="J7" s="63">
        <f>J6+1</f>
        <v>2016</v>
      </c>
      <c r="K7" s="74">
        <f aca="true" t="shared" si="0" ref="K7:K41">K6*(1+F$31)</f>
        <v>100.73375909385746</v>
      </c>
      <c r="L7" s="74">
        <f aca="true" t="shared" si="1" ref="L7:L41">K7/(1.06^($J7-$J$6))</f>
        <v>95.03184820175231</v>
      </c>
      <c r="M7" s="63"/>
      <c r="N7" s="63"/>
      <c r="O7" s="63">
        <f>O6*1.02</f>
        <v>5.304</v>
      </c>
      <c r="P7" s="63">
        <f>O7/1.075</f>
        <v>4.933953488372094</v>
      </c>
      <c r="Q7" s="63"/>
      <c r="R7" s="63">
        <f>R6</f>
        <v>6.800000000000001</v>
      </c>
      <c r="S7" s="74">
        <f aca="true" t="shared" si="2" ref="S7:S51">R7/(1.06^($J7-$J$6))</f>
        <v>6.415094339622642</v>
      </c>
      <c r="T7" s="63"/>
    </row>
    <row r="8" spans="1:20" ht="15">
      <c r="A8" s="63"/>
      <c r="B8" s="67" t="s">
        <v>42</v>
      </c>
      <c r="C8" s="77">
        <v>2</v>
      </c>
      <c r="D8" s="67"/>
      <c r="E8" s="67"/>
      <c r="F8" s="67">
        <v>0</v>
      </c>
      <c r="G8" s="67"/>
      <c r="H8" s="63"/>
      <c r="I8" s="63"/>
      <c r="J8" s="63">
        <f aca="true" t="shared" si="3" ref="J8:J23">J7+1</f>
        <v>2017</v>
      </c>
      <c r="K8" s="74">
        <f t="shared" si="0"/>
        <v>102.04329796207759</v>
      </c>
      <c r="L8" s="74">
        <f t="shared" si="1"/>
        <v>90.81817191356139</v>
      </c>
      <c r="M8" s="63"/>
      <c r="N8" s="63"/>
      <c r="O8" s="63">
        <f aca="true" t="shared" si="4" ref="O8:O41">O7*1.02</f>
        <v>5.410080000000001</v>
      </c>
      <c r="P8" s="74">
        <f aca="true" t="shared" si="5" ref="P8:P41">O8/(1.075^(J8-J$6))</f>
        <v>4.681518658734452</v>
      </c>
      <c r="Q8" s="63"/>
      <c r="R8" s="63">
        <f aca="true" t="shared" si="6" ref="R8:R51">R7</f>
        <v>6.800000000000001</v>
      </c>
      <c r="S8" s="74">
        <f t="shared" si="2"/>
        <v>6.051975792096831</v>
      </c>
      <c r="T8" s="63"/>
    </row>
    <row r="9" spans="1:20" ht="15">
      <c r="A9" s="63"/>
      <c r="B9" s="62" t="s">
        <v>43</v>
      </c>
      <c r="C9" s="73" t="s">
        <v>98</v>
      </c>
      <c r="D9" s="63"/>
      <c r="E9" s="63">
        <v>75</v>
      </c>
      <c r="F9" s="78">
        <v>0</v>
      </c>
      <c r="G9" s="63"/>
      <c r="H9" s="63"/>
      <c r="I9" s="63"/>
      <c r="J9" s="63">
        <f t="shared" si="3"/>
        <v>2018</v>
      </c>
      <c r="K9" s="74">
        <f t="shared" si="0"/>
        <v>103.36986083558459</v>
      </c>
      <c r="L9" s="74">
        <f t="shared" si="1"/>
        <v>86.79132844192233</v>
      </c>
      <c r="M9" s="63"/>
      <c r="N9" s="63"/>
      <c r="O9" s="63">
        <f t="shared" si="4"/>
        <v>5.518281600000001</v>
      </c>
      <c r="P9" s="74">
        <f t="shared" si="5"/>
        <v>4.441999099450364</v>
      </c>
      <c r="Q9" s="63"/>
      <c r="R9" s="63">
        <f t="shared" si="6"/>
        <v>6.800000000000001</v>
      </c>
      <c r="S9" s="74">
        <f t="shared" si="2"/>
        <v>5.709411124619652</v>
      </c>
      <c r="T9" s="63"/>
    </row>
    <row r="10" spans="1:20" ht="15">
      <c r="A10" s="63"/>
      <c r="B10" s="63"/>
      <c r="C10" s="63"/>
      <c r="D10" s="63"/>
      <c r="E10" s="63"/>
      <c r="F10" s="63"/>
      <c r="G10" s="63"/>
      <c r="H10" s="63"/>
      <c r="I10" s="63"/>
      <c r="J10" s="63">
        <f t="shared" si="3"/>
        <v>2019</v>
      </c>
      <c r="K10" s="74">
        <f t="shared" si="0"/>
        <v>104.71366902644718</v>
      </c>
      <c r="L10" s="74">
        <f t="shared" si="1"/>
        <v>82.94303369025218</v>
      </c>
      <c r="M10" s="63"/>
      <c r="N10" s="63"/>
      <c r="O10" s="63">
        <f t="shared" si="4"/>
        <v>5.6286472320000005</v>
      </c>
      <c r="P10" s="74">
        <f t="shared" si="5"/>
        <v>4.2147340292459265</v>
      </c>
      <c r="Q10" s="63"/>
      <c r="R10" s="63">
        <f t="shared" si="6"/>
        <v>6.800000000000001</v>
      </c>
      <c r="S10" s="74">
        <f t="shared" si="2"/>
        <v>5.386236910018539</v>
      </c>
      <c r="T10" s="63"/>
    </row>
    <row r="11" spans="1:20" ht="15">
      <c r="A11" s="70" t="s">
        <v>72</v>
      </c>
      <c r="B11" s="63"/>
      <c r="C11" s="63"/>
      <c r="D11" s="63"/>
      <c r="E11" s="63"/>
      <c r="F11" s="63"/>
      <c r="G11" s="63"/>
      <c r="H11" s="63"/>
      <c r="I11" s="63"/>
      <c r="J11" s="63">
        <f t="shared" si="3"/>
        <v>2020</v>
      </c>
      <c r="K11" s="74">
        <f t="shared" si="0"/>
        <v>106.07494672379099</v>
      </c>
      <c r="L11" s="74">
        <f t="shared" si="1"/>
        <v>79.26537087568438</v>
      </c>
      <c r="M11" s="63">
        <v>400</v>
      </c>
      <c r="N11" s="63"/>
      <c r="O11" s="63">
        <f t="shared" si="4"/>
        <v>5.741220176640001</v>
      </c>
      <c r="P11" s="74">
        <f t="shared" si="5"/>
        <v>3.9990964742612514</v>
      </c>
      <c r="Q11" s="63"/>
      <c r="R11" s="63">
        <f t="shared" si="6"/>
        <v>6.800000000000001</v>
      </c>
      <c r="S11" s="74">
        <f t="shared" si="2"/>
        <v>5.081355575489187</v>
      </c>
      <c r="T11" s="63"/>
    </row>
    <row r="12" spans="1:20" ht="15">
      <c r="A12" s="63"/>
      <c r="B12" s="63" t="s">
        <v>75</v>
      </c>
      <c r="C12" s="73" t="s">
        <v>11</v>
      </c>
      <c r="D12" s="79">
        <v>80.5</v>
      </c>
      <c r="E12" s="79">
        <f>D12*1.013^5+E$9*0.068</f>
        <v>90.97032511069155</v>
      </c>
      <c r="F12" s="80">
        <f>E12*(1+J2)^7+F$9*0.068</f>
        <v>99.44102575899059</v>
      </c>
      <c r="G12" s="80">
        <f>F12*(1+J2)^35+G$9*0.068</f>
        <v>155.20111574117826</v>
      </c>
      <c r="H12" s="63"/>
      <c r="I12" s="63"/>
      <c r="J12" s="63">
        <f t="shared" si="3"/>
        <v>2021</v>
      </c>
      <c r="K12" s="74">
        <f t="shared" si="0"/>
        <v>107.45392103120025</v>
      </c>
      <c r="L12" s="74">
        <f t="shared" si="1"/>
        <v>75.75077424251722</v>
      </c>
      <c r="M12" s="63"/>
      <c r="N12" s="63"/>
      <c r="O12" s="63">
        <f t="shared" si="4"/>
        <v>5.856044580172801</v>
      </c>
      <c r="P12" s="74">
        <f t="shared" si="5"/>
        <v>3.794491538368816</v>
      </c>
      <c r="Q12" s="63"/>
      <c r="R12" s="63">
        <f t="shared" si="6"/>
        <v>6.800000000000001</v>
      </c>
      <c r="S12" s="74">
        <f t="shared" si="2"/>
        <v>4.793731674989799</v>
      </c>
      <c r="T12" s="63"/>
    </row>
    <row r="13" spans="1:20" ht="15">
      <c r="A13" s="63"/>
      <c r="B13" s="81" t="s">
        <v>73</v>
      </c>
      <c r="C13" s="63"/>
      <c r="D13" s="63"/>
      <c r="E13" s="63"/>
      <c r="F13" s="63"/>
      <c r="G13" s="63"/>
      <c r="H13" s="63"/>
      <c r="I13" s="63"/>
      <c r="J13" s="63">
        <f t="shared" si="3"/>
        <v>2022</v>
      </c>
      <c r="K13" s="74">
        <f t="shared" si="0"/>
        <v>108.85082200460585</v>
      </c>
      <c r="L13" s="74">
        <f t="shared" si="1"/>
        <v>72.39201349780183</v>
      </c>
      <c r="M13" s="63"/>
      <c r="N13" s="63"/>
      <c r="O13" s="63">
        <f t="shared" si="4"/>
        <v>5.973165471776257</v>
      </c>
      <c r="P13" s="74">
        <f t="shared" si="5"/>
        <v>3.6003547619871554</v>
      </c>
      <c r="Q13" s="63"/>
      <c r="R13" s="63">
        <f t="shared" si="6"/>
        <v>6.800000000000001</v>
      </c>
      <c r="S13" s="74">
        <f t="shared" si="2"/>
        <v>4.522388372631886</v>
      </c>
      <c r="T13" s="63"/>
    </row>
    <row r="14" spans="1:20" ht="15">
      <c r="A14" s="63"/>
      <c r="B14" s="63" t="s">
        <v>30</v>
      </c>
      <c r="C14" s="73">
        <v>5</v>
      </c>
      <c r="D14" s="79">
        <v>4.5</v>
      </c>
      <c r="E14" s="79">
        <v>7.9</v>
      </c>
      <c r="F14" s="79">
        <f>E14*1.02^7</f>
        <v>9.07461677442931</v>
      </c>
      <c r="G14" s="79">
        <f>F14*1.02^35</f>
        <v>18.14823128159664</v>
      </c>
      <c r="H14" s="63"/>
      <c r="I14" s="63"/>
      <c r="J14" s="63">
        <f t="shared" si="3"/>
        <v>2023</v>
      </c>
      <c r="K14" s="74">
        <f t="shared" si="0"/>
        <v>110.2658826906657</v>
      </c>
      <c r="L14" s="74">
        <f t="shared" si="1"/>
        <v>69.18217893705022</v>
      </c>
      <c r="M14" s="63"/>
      <c r="N14" s="63"/>
      <c r="O14" s="63">
        <f t="shared" si="4"/>
        <v>6.092628781211782</v>
      </c>
      <c r="P14" s="74">
        <f t="shared" si="5"/>
        <v>3.4161505648622312</v>
      </c>
      <c r="Q14" s="63"/>
      <c r="R14" s="63">
        <f t="shared" si="6"/>
        <v>6.800000000000001</v>
      </c>
      <c r="S14" s="74">
        <f t="shared" si="2"/>
        <v>4.266404125124421</v>
      </c>
      <c r="T14" s="63"/>
    </row>
    <row r="15" spans="1:20" ht="15">
      <c r="A15" s="63"/>
      <c r="B15" s="67" t="s">
        <v>31</v>
      </c>
      <c r="C15" s="77">
        <v>6</v>
      </c>
      <c r="D15" s="82">
        <v>5.6</v>
      </c>
      <c r="E15" s="82">
        <f>(5664*1.02^5)/1000</f>
        <v>6.253513669324801</v>
      </c>
      <c r="F15" s="82">
        <f>E15*1.02^7</f>
        <v>7.183321524402256</v>
      </c>
      <c r="G15" s="82">
        <f>F15*1.02^35</f>
        <v>14.36584967006741</v>
      </c>
      <c r="H15" s="74"/>
      <c r="I15" s="63"/>
      <c r="J15" s="63">
        <f t="shared" si="3"/>
        <v>2024</v>
      </c>
      <c r="K15" s="74">
        <f t="shared" si="0"/>
        <v>111.69933916564435</v>
      </c>
      <c r="L15" s="74">
        <f t="shared" si="1"/>
        <v>66.11466722946403</v>
      </c>
      <c r="M15" s="63"/>
      <c r="N15" s="63"/>
      <c r="O15" s="63">
        <f t="shared" si="4"/>
        <v>6.214481356836018</v>
      </c>
      <c r="P15" s="74">
        <f t="shared" si="5"/>
        <v>3.2413707685204427</v>
      </c>
      <c r="Q15" s="63"/>
      <c r="R15" s="63">
        <f t="shared" si="6"/>
        <v>6.800000000000001</v>
      </c>
      <c r="S15" s="74">
        <f t="shared" si="2"/>
        <v>4.02490955200417</v>
      </c>
      <c r="T15" s="63"/>
    </row>
    <row r="16" spans="1:20" ht="15">
      <c r="A16" s="63"/>
      <c r="B16" s="62" t="s">
        <v>76</v>
      </c>
      <c r="C16" s="73" t="s">
        <v>99</v>
      </c>
      <c r="D16" s="79">
        <f>SUM(D14:D15)</f>
        <v>10.1</v>
      </c>
      <c r="E16" s="79">
        <f>SUM(E14:E15)</f>
        <v>14.153513669324802</v>
      </c>
      <c r="F16" s="79">
        <f>SUM(F14:F15)</f>
        <v>16.25793829883157</v>
      </c>
      <c r="G16" s="79">
        <f>SUM(G14:G15)</f>
        <v>32.51408095166405</v>
      </c>
      <c r="H16" s="63"/>
      <c r="I16" s="63"/>
      <c r="J16" s="63">
        <f t="shared" si="3"/>
        <v>2025</v>
      </c>
      <c r="K16" s="74">
        <f t="shared" si="0"/>
        <v>113.15143057479771</v>
      </c>
      <c r="L16" s="74">
        <f t="shared" si="1"/>
        <v>63.18316783344062</v>
      </c>
      <c r="M16" s="63"/>
      <c r="N16" s="63"/>
      <c r="O16" s="63">
        <f t="shared" si="4"/>
        <v>6.338770983972738</v>
      </c>
      <c r="P16" s="74">
        <f t="shared" si="5"/>
        <v>3.075533194317072</v>
      </c>
      <c r="Q16" s="63"/>
      <c r="R16" s="63">
        <f t="shared" si="6"/>
        <v>6.800000000000001</v>
      </c>
      <c r="S16" s="74">
        <f t="shared" si="2"/>
        <v>3.797084483022802</v>
      </c>
      <c r="T16" s="63"/>
    </row>
    <row r="17" spans="1:20" ht="15">
      <c r="A17" s="63"/>
      <c r="B17" s="63"/>
      <c r="C17" s="63"/>
      <c r="D17" s="63"/>
      <c r="E17" s="63"/>
      <c r="F17" s="63"/>
      <c r="G17" s="63"/>
      <c r="H17" s="63"/>
      <c r="I17" s="63"/>
      <c r="J17" s="63">
        <f t="shared" si="3"/>
        <v>2026</v>
      </c>
      <c r="K17" s="74">
        <f t="shared" si="0"/>
        <v>114.62239917227008</v>
      </c>
      <c r="L17" s="74">
        <f t="shared" si="1"/>
        <v>60.38165001441069</v>
      </c>
      <c r="M17" s="63"/>
      <c r="N17" s="63"/>
      <c r="O17" s="63">
        <f t="shared" si="4"/>
        <v>6.465546403652193</v>
      </c>
      <c r="P17" s="74">
        <f t="shared" si="5"/>
        <v>2.918180333212477</v>
      </c>
      <c r="Q17" s="63"/>
      <c r="R17" s="63">
        <f t="shared" si="6"/>
        <v>6.800000000000001</v>
      </c>
      <c r="S17" s="74">
        <f t="shared" si="2"/>
        <v>3.58215517266302</v>
      </c>
      <c r="T17" s="63"/>
    </row>
    <row r="18" spans="1:20" ht="15">
      <c r="A18" s="70" t="s">
        <v>9</v>
      </c>
      <c r="B18" s="63"/>
      <c r="C18" s="63"/>
      <c r="D18" s="63"/>
      <c r="E18" s="63"/>
      <c r="F18" s="63"/>
      <c r="G18" s="63"/>
      <c r="H18" s="63"/>
      <c r="I18" s="63"/>
      <c r="J18" s="63">
        <f t="shared" si="3"/>
        <v>2027</v>
      </c>
      <c r="K18" s="74">
        <f t="shared" si="0"/>
        <v>116.11249036150957</v>
      </c>
      <c r="L18" s="74">
        <f t="shared" si="1"/>
        <v>57.70435043830002</v>
      </c>
      <c r="M18" s="63"/>
      <c r="N18" s="63"/>
      <c r="O18" s="63">
        <f t="shared" si="4"/>
        <v>6.594857331725237</v>
      </c>
      <c r="P18" s="74">
        <f t="shared" si="5"/>
        <v>2.7688780836062574</v>
      </c>
      <c r="Q18" s="63"/>
      <c r="R18" s="63">
        <f t="shared" si="6"/>
        <v>6.800000000000001</v>
      </c>
      <c r="S18" s="74">
        <f t="shared" si="2"/>
        <v>3.379391672323604</v>
      </c>
      <c r="T18" s="63"/>
    </row>
    <row r="19" spans="1:20" ht="15">
      <c r="A19" s="63"/>
      <c r="B19" s="63" t="s">
        <v>5</v>
      </c>
      <c r="C19" s="73">
        <v>8</v>
      </c>
      <c r="D19" s="63">
        <v>2100</v>
      </c>
      <c r="E19" s="63">
        <v>2100</v>
      </c>
      <c r="F19" s="63">
        <v>1900</v>
      </c>
      <c r="G19" s="83">
        <f>F19*1.005^35</f>
        <v>2262.381091705955</v>
      </c>
      <c r="H19" s="63"/>
      <c r="I19" s="63"/>
      <c r="J19" s="63">
        <f t="shared" si="3"/>
        <v>2028</v>
      </c>
      <c r="K19" s="74">
        <f t="shared" si="0"/>
        <v>117.62195273620918</v>
      </c>
      <c r="L19" s="74">
        <f t="shared" si="1"/>
        <v>55.145761315092365</v>
      </c>
      <c r="M19" s="63"/>
      <c r="N19" s="63"/>
      <c r="O19" s="63">
        <f t="shared" si="4"/>
        <v>6.726754478359742</v>
      </c>
      <c r="P19" s="74">
        <f t="shared" si="5"/>
        <v>2.6272145537473324</v>
      </c>
      <c r="Q19" s="63"/>
      <c r="R19" s="63">
        <f t="shared" si="6"/>
        <v>6.800000000000001</v>
      </c>
      <c r="S19" s="74">
        <f t="shared" si="2"/>
        <v>3.1881053512486823</v>
      </c>
      <c r="T19" s="63"/>
    </row>
    <row r="20" spans="1:20" ht="15">
      <c r="A20" s="63"/>
      <c r="B20" s="63" t="s">
        <v>2</v>
      </c>
      <c r="C20" s="73">
        <v>9</v>
      </c>
      <c r="D20" s="63">
        <v>720</v>
      </c>
      <c r="E20" s="63">
        <v>1080</v>
      </c>
      <c r="F20" s="63">
        <f>E20</f>
        <v>1080</v>
      </c>
      <c r="G20" s="63">
        <f>F20</f>
        <v>1080</v>
      </c>
      <c r="H20" s="63"/>
      <c r="I20" s="63"/>
      <c r="J20" s="63">
        <f t="shared" si="3"/>
        <v>2029</v>
      </c>
      <c r="K20" s="74">
        <f t="shared" si="0"/>
        <v>119.15103812177989</v>
      </c>
      <c r="L20" s="74">
        <f t="shared" si="1"/>
        <v>52.70061906810241</v>
      </c>
      <c r="M20" s="63"/>
      <c r="N20" s="63"/>
      <c r="O20" s="63">
        <f t="shared" si="4"/>
        <v>6.861289567926937</v>
      </c>
      <c r="P20" s="74">
        <f t="shared" si="5"/>
        <v>2.492798925416074</v>
      </c>
      <c r="Q20" s="63"/>
      <c r="R20" s="63">
        <f t="shared" si="6"/>
        <v>6.800000000000001</v>
      </c>
      <c r="S20" s="74">
        <f t="shared" si="2"/>
        <v>3.007646557781776</v>
      </c>
      <c r="T20" s="63"/>
    </row>
    <row r="21" spans="1:20" ht="15">
      <c r="A21" s="63"/>
      <c r="B21" s="67" t="s">
        <v>3</v>
      </c>
      <c r="C21" s="77">
        <v>10</v>
      </c>
      <c r="D21" s="67">
        <v>300</v>
      </c>
      <c r="E21" s="67">
        <v>250</v>
      </c>
      <c r="F21" s="67">
        <v>200</v>
      </c>
      <c r="G21" s="67">
        <v>200</v>
      </c>
      <c r="H21" s="63"/>
      <c r="I21" s="63"/>
      <c r="J21" s="63">
        <f t="shared" si="3"/>
        <v>2030</v>
      </c>
      <c r="K21" s="74">
        <f t="shared" si="0"/>
        <v>120.70000161736301</v>
      </c>
      <c r="L21" s="74">
        <f t="shared" si="1"/>
        <v>50.3638935056488</v>
      </c>
      <c r="M21" s="63"/>
      <c r="N21" s="63"/>
      <c r="O21" s="63">
        <f t="shared" si="4"/>
        <v>6.998515359285475</v>
      </c>
      <c r="P21" s="74">
        <f t="shared" si="5"/>
        <v>2.3652603757436235</v>
      </c>
      <c r="Q21" s="63"/>
      <c r="R21" s="63">
        <f t="shared" si="6"/>
        <v>6.800000000000001</v>
      </c>
      <c r="S21" s="74">
        <f t="shared" si="2"/>
        <v>2.8374024130016746</v>
      </c>
      <c r="T21" s="63"/>
    </row>
    <row r="22" spans="1:20" ht="15">
      <c r="A22" s="63"/>
      <c r="B22" s="62" t="s">
        <v>4</v>
      </c>
      <c r="C22" s="84" t="s">
        <v>100</v>
      </c>
      <c r="D22" s="63">
        <f>SUM(D19:D21)</f>
        <v>3120</v>
      </c>
      <c r="E22" s="63">
        <f>SUM(E19:E21)</f>
        <v>3430</v>
      </c>
      <c r="F22" s="63">
        <f>SUM(F19:F21)</f>
        <v>3180</v>
      </c>
      <c r="G22" s="83">
        <f>SUM(G19:G21)</f>
        <v>3542.381091705955</v>
      </c>
      <c r="H22" s="63"/>
      <c r="I22" s="63"/>
      <c r="J22" s="63">
        <f t="shared" si="3"/>
        <v>2031</v>
      </c>
      <c r="K22" s="74">
        <f t="shared" si="0"/>
        <v>122.26910163838872</v>
      </c>
      <c r="L22" s="74">
        <f t="shared" si="1"/>
        <v>48.13077747285117</v>
      </c>
      <c r="M22" s="63"/>
      <c r="N22" s="63"/>
      <c r="O22" s="63">
        <f t="shared" si="4"/>
        <v>7.138485666471185</v>
      </c>
      <c r="P22" s="74">
        <f t="shared" si="5"/>
        <v>2.24424705419395</v>
      </c>
      <c r="Q22" s="63"/>
      <c r="R22" s="63">
        <f t="shared" si="6"/>
        <v>6.800000000000001</v>
      </c>
      <c r="S22" s="74">
        <f t="shared" si="2"/>
        <v>2.6767947292468635</v>
      </c>
      <c r="T22" s="63"/>
    </row>
    <row r="23" spans="1:20" ht="15">
      <c r="A23" s="63"/>
      <c r="B23" s="63"/>
      <c r="C23" s="63"/>
      <c r="D23" s="63"/>
      <c r="E23" s="63"/>
      <c r="F23" s="63"/>
      <c r="G23" s="63"/>
      <c r="H23" s="63"/>
      <c r="I23" s="63"/>
      <c r="J23" s="63">
        <f t="shared" si="3"/>
        <v>2032</v>
      </c>
      <c r="K23" s="74">
        <f t="shared" si="0"/>
        <v>123.85859995968777</v>
      </c>
      <c r="L23" s="74">
        <f t="shared" si="1"/>
        <v>45.99667696226248</v>
      </c>
      <c r="M23" s="63"/>
      <c r="N23" s="63"/>
      <c r="O23" s="63">
        <f t="shared" si="4"/>
        <v>7.2812553798006086</v>
      </c>
      <c r="P23" s="74">
        <f t="shared" si="5"/>
        <v>2.1294251118863525</v>
      </c>
      <c r="Q23" s="63"/>
      <c r="R23" s="63">
        <f t="shared" si="6"/>
        <v>6.800000000000001</v>
      </c>
      <c r="S23" s="74">
        <f t="shared" si="2"/>
        <v>2.525278046459305</v>
      </c>
      <c r="T23" s="63"/>
    </row>
    <row r="24" spans="1:20" ht="15">
      <c r="A24" s="70" t="s">
        <v>10</v>
      </c>
      <c r="B24" s="63"/>
      <c r="C24" s="73"/>
      <c r="D24" s="63"/>
      <c r="E24" s="63"/>
      <c r="F24" s="63"/>
      <c r="G24" s="63"/>
      <c r="H24" s="63"/>
      <c r="I24" s="63"/>
      <c r="J24" s="63">
        <f aca="true" t="shared" si="7" ref="J24:J51">J23+1</f>
        <v>2033</v>
      </c>
      <c r="K24" s="74">
        <f t="shared" si="0"/>
        <v>125.4687617591637</v>
      </c>
      <c r="L24" s="74">
        <f t="shared" si="1"/>
        <v>43.95720166299235</v>
      </c>
      <c r="M24" s="63"/>
      <c r="N24" s="63"/>
      <c r="O24" s="63">
        <f t="shared" si="4"/>
        <v>7.4268804873966205</v>
      </c>
      <c r="P24" s="74">
        <f t="shared" si="5"/>
        <v>2.0204777805805394</v>
      </c>
      <c r="Q24" s="63"/>
      <c r="R24" s="63">
        <f t="shared" si="6"/>
        <v>6.800000000000001</v>
      </c>
      <c r="S24" s="74">
        <f t="shared" si="2"/>
        <v>2.38233777967859</v>
      </c>
      <c r="T24" s="63"/>
    </row>
    <row r="25" spans="1:20" ht="15">
      <c r="A25" s="63"/>
      <c r="B25" s="63" t="s">
        <v>74</v>
      </c>
      <c r="C25" s="73" t="s">
        <v>101</v>
      </c>
      <c r="D25" s="79">
        <f>D12/D22*1000</f>
        <v>25.80128205128205</v>
      </c>
      <c r="E25" s="79">
        <f>E12/E22*1000</f>
        <v>26.521960673671003</v>
      </c>
      <c r="F25" s="79">
        <f>F12/F22*1000</f>
        <v>31.27076281729264</v>
      </c>
      <c r="G25" s="74">
        <f>G12/G22*1000</f>
        <v>43.81265361441839</v>
      </c>
      <c r="H25" s="74">
        <f>F25*(1+I25)^35</f>
        <v>43.84004029152772</v>
      </c>
      <c r="I25" s="72">
        <v>0.0097</v>
      </c>
      <c r="J25" s="63">
        <f t="shared" si="7"/>
        <v>2034</v>
      </c>
      <c r="K25" s="74">
        <f t="shared" si="0"/>
        <v>127.09985566203281</v>
      </c>
      <c r="L25" s="74">
        <f t="shared" si="1"/>
        <v>42.00815592887852</v>
      </c>
      <c r="M25" s="63"/>
      <c r="N25" s="63"/>
      <c r="O25" s="63">
        <f t="shared" si="4"/>
        <v>7.575418097144553</v>
      </c>
      <c r="P25" s="74">
        <f t="shared" si="5"/>
        <v>1.9171044987833954</v>
      </c>
      <c r="Q25" s="63"/>
      <c r="R25" s="63">
        <f t="shared" si="6"/>
        <v>6.800000000000001</v>
      </c>
      <c r="S25" s="74">
        <f t="shared" si="2"/>
        <v>2.2474884713948957</v>
      </c>
      <c r="T25" s="63"/>
    </row>
    <row r="26" spans="1:20" ht="15">
      <c r="A26" s="63"/>
      <c r="B26" s="63" t="s">
        <v>73</v>
      </c>
      <c r="C26" s="85" t="s">
        <v>102</v>
      </c>
      <c r="D26" s="74">
        <f>D16/D22*1000</f>
        <v>3.2371794871794872</v>
      </c>
      <c r="E26" s="74">
        <f>E16/E22*1000</f>
        <v>4.126388824876035</v>
      </c>
      <c r="F26" s="74">
        <f>F16/F22*1000</f>
        <v>5.112559213469047</v>
      </c>
      <c r="G26" s="74">
        <f>G16/G22*1000</f>
        <v>9.17859488009117</v>
      </c>
      <c r="H26" s="63"/>
      <c r="I26" s="63"/>
      <c r="J26" s="63">
        <f t="shared" si="7"/>
        <v>2035</v>
      </c>
      <c r="K26" s="74">
        <f t="shared" si="0"/>
        <v>128.75215378563922</v>
      </c>
      <c r="L26" s="74">
        <f t="shared" si="1"/>
        <v>40.14553014712636</v>
      </c>
      <c r="M26" s="63"/>
      <c r="N26" s="63"/>
      <c r="O26" s="63">
        <f t="shared" si="4"/>
        <v>7.726926459087444</v>
      </c>
      <c r="P26" s="74">
        <f t="shared" si="5"/>
        <v>1.8190200825665708</v>
      </c>
      <c r="Q26" s="63"/>
      <c r="R26" s="63">
        <f t="shared" si="6"/>
        <v>6.800000000000001</v>
      </c>
      <c r="S26" s="74">
        <f t="shared" si="2"/>
        <v>2.1202721428253732</v>
      </c>
      <c r="T26" s="63"/>
    </row>
    <row r="27" spans="1:20" ht="15">
      <c r="A27" s="63"/>
      <c r="B27" s="63"/>
      <c r="C27" s="63"/>
      <c r="D27" s="63"/>
      <c r="E27" s="63"/>
      <c r="F27" s="63"/>
      <c r="G27" s="63"/>
      <c r="H27" s="63"/>
      <c r="I27" s="63"/>
      <c r="J27" s="63">
        <f t="shared" si="7"/>
        <v>2036</v>
      </c>
      <c r="K27" s="74">
        <f t="shared" si="0"/>
        <v>130.4259317848525</v>
      </c>
      <c r="L27" s="74">
        <f t="shared" si="1"/>
        <v>38.365492489659424</v>
      </c>
      <c r="M27" s="63"/>
      <c r="N27" s="63"/>
      <c r="O27" s="63">
        <f t="shared" si="4"/>
        <v>7.881464988269193</v>
      </c>
      <c r="P27" s="74">
        <f t="shared" si="5"/>
        <v>1.7259539388073506</v>
      </c>
      <c r="Q27" s="63"/>
      <c r="R27" s="63">
        <f t="shared" si="6"/>
        <v>6.800000000000001</v>
      </c>
      <c r="S27" s="74">
        <f t="shared" si="2"/>
        <v>2.0002567385145027</v>
      </c>
      <c r="T27" s="63"/>
    </row>
    <row r="28" spans="1:20" ht="15">
      <c r="A28" s="70" t="s">
        <v>49</v>
      </c>
      <c r="B28" s="63"/>
      <c r="C28" s="63"/>
      <c r="D28" s="63"/>
      <c r="E28" s="63"/>
      <c r="F28" s="63"/>
      <c r="G28" s="63"/>
      <c r="H28" s="74"/>
      <c r="I28" s="63"/>
      <c r="J28" s="63">
        <f t="shared" si="7"/>
        <v>2037</v>
      </c>
      <c r="K28" s="74">
        <f t="shared" si="0"/>
        <v>132.12146889805558</v>
      </c>
      <c r="L28" s="74">
        <f t="shared" si="1"/>
        <v>36.664381030212255</v>
      </c>
      <c r="M28" s="63"/>
      <c r="N28" s="63"/>
      <c r="O28" s="63">
        <f t="shared" si="4"/>
        <v>8.039094288034576</v>
      </c>
      <c r="P28" s="74">
        <f t="shared" si="5"/>
        <v>1.6376493186823233</v>
      </c>
      <c r="Q28" s="63"/>
      <c r="R28" s="63">
        <f t="shared" si="6"/>
        <v>6.800000000000001</v>
      </c>
      <c r="S28" s="74">
        <f t="shared" si="2"/>
        <v>1.887034658975946</v>
      </c>
      <c r="T28" s="63"/>
    </row>
    <row r="29" spans="1:20" ht="15">
      <c r="A29" s="63"/>
      <c r="B29" s="63" t="s">
        <v>47</v>
      </c>
      <c r="C29" s="73" t="s">
        <v>103</v>
      </c>
      <c r="D29" s="63"/>
      <c r="E29" s="63"/>
      <c r="F29" s="86">
        <f>F22</f>
        <v>3180</v>
      </c>
      <c r="G29" s="87">
        <f>G22</f>
        <v>3542.381091705955</v>
      </c>
      <c r="H29" s="63"/>
      <c r="I29" s="63"/>
      <c r="J29" s="63">
        <f t="shared" si="7"/>
        <v>2038</v>
      </c>
      <c r="K29" s="74">
        <f t="shared" si="0"/>
        <v>133.8390479937303</v>
      </c>
      <c r="L29" s="74">
        <f t="shared" si="1"/>
        <v>35.03869621094812</v>
      </c>
      <c r="M29" s="63"/>
      <c r="N29" s="63"/>
      <c r="O29" s="63">
        <f t="shared" si="4"/>
        <v>8.199876173795268</v>
      </c>
      <c r="P29" s="74">
        <f t="shared" si="5"/>
        <v>1.5538626093543906</v>
      </c>
      <c r="Q29" s="63"/>
      <c r="R29" s="63">
        <f t="shared" si="6"/>
        <v>6.800000000000001</v>
      </c>
      <c r="S29" s="74">
        <f t="shared" si="2"/>
        <v>1.7802213763924015</v>
      </c>
      <c r="T29" s="63"/>
    </row>
    <row r="30" spans="1:20" ht="15">
      <c r="A30" s="63"/>
      <c r="B30" s="63" t="s">
        <v>69</v>
      </c>
      <c r="C30" s="73" t="s">
        <v>104</v>
      </c>
      <c r="D30" s="63"/>
      <c r="E30" s="63"/>
      <c r="F30" s="79">
        <f>F22*F25/1000</f>
        <v>99.44102575899059</v>
      </c>
      <c r="G30" s="79">
        <f>G22*G25/1000</f>
        <v>155.20111574117826</v>
      </c>
      <c r="H30" s="63"/>
      <c r="I30" s="63"/>
      <c r="J30" s="63">
        <f t="shared" si="7"/>
        <v>2039</v>
      </c>
      <c r="K30" s="74">
        <f t="shared" si="0"/>
        <v>135.57895561764877</v>
      </c>
      <c r="L30" s="74">
        <f t="shared" si="1"/>
        <v>33.48509364310419</v>
      </c>
      <c r="M30" s="63"/>
      <c r="N30" s="63"/>
      <c r="O30" s="63">
        <f t="shared" si="4"/>
        <v>8.363873697271174</v>
      </c>
      <c r="P30" s="74">
        <f t="shared" si="5"/>
        <v>1.47436266189905</v>
      </c>
      <c r="Q30" s="63"/>
      <c r="R30" s="63">
        <f t="shared" si="6"/>
        <v>6.800000000000001</v>
      </c>
      <c r="S30" s="74">
        <f t="shared" si="2"/>
        <v>1.6794541286720772</v>
      </c>
      <c r="T30" s="63"/>
    </row>
    <row r="31" spans="1:20" ht="15">
      <c r="A31" s="63"/>
      <c r="B31" s="63" t="s">
        <v>48</v>
      </c>
      <c r="C31" s="73">
        <v>15</v>
      </c>
      <c r="D31" s="63"/>
      <c r="E31" s="63"/>
      <c r="F31" s="88">
        <v>0.013</v>
      </c>
      <c r="G31" s="89"/>
      <c r="H31" s="63"/>
      <c r="I31" s="63"/>
      <c r="J31" s="63">
        <f t="shared" si="7"/>
        <v>2040</v>
      </c>
      <c r="K31" s="74">
        <f t="shared" si="0"/>
        <v>137.3414820406782</v>
      </c>
      <c r="L31" s="74">
        <f t="shared" si="1"/>
        <v>32.000377226853345</v>
      </c>
      <c r="M31" s="63"/>
      <c r="N31" s="63"/>
      <c r="O31" s="63">
        <f t="shared" si="4"/>
        <v>8.531151171216598</v>
      </c>
      <c r="P31" s="74">
        <f t="shared" si="5"/>
        <v>1.3989301536158427</v>
      </c>
      <c r="Q31" s="63"/>
      <c r="R31" s="63">
        <f t="shared" si="6"/>
        <v>6.800000000000001</v>
      </c>
      <c r="S31" s="74">
        <f t="shared" si="2"/>
        <v>1.584390687426488</v>
      </c>
      <c r="T31" s="63"/>
    </row>
    <row r="32" spans="1:20" ht="15">
      <c r="A32" s="63"/>
      <c r="B32" s="90" t="s">
        <v>70</v>
      </c>
      <c r="C32" s="73" t="s">
        <v>105</v>
      </c>
      <c r="D32" s="63"/>
      <c r="E32" s="63"/>
      <c r="F32" s="91">
        <f>L42</f>
        <v>1705.0410851729926</v>
      </c>
      <c r="G32" s="63"/>
      <c r="H32" s="63"/>
      <c r="I32" s="63"/>
      <c r="J32" s="63">
        <f t="shared" si="7"/>
        <v>2041</v>
      </c>
      <c r="K32" s="74">
        <f t="shared" si="0"/>
        <v>139.126921307207</v>
      </c>
      <c r="L32" s="74">
        <f t="shared" si="1"/>
        <v>30.58149257622871</v>
      </c>
      <c r="M32" s="63"/>
      <c r="N32" s="63"/>
      <c r="O32" s="63">
        <f t="shared" si="4"/>
        <v>8.70177419464093</v>
      </c>
      <c r="P32" s="74">
        <f t="shared" si="5"/>
        <v>1.3273569829657301</v>
      </c>
      <c r="Q32" s="63"/>
      <c r="R32" s="63">
        <f t="shared" si="6"/>
        <v>6.800000000000001</v>
      </c>
      <c r="S32" s="74">
        <f t="shared" si="2"/>
        <v>1.4947081956853658</v>
      </c>
      <c r="T32" s="63"/>
    </row>
    <row r="33" spans="1:20" ht="15">
      <c r="A33" s="63"/>
      <c r="B33" s="63"/>
      <c r="C33" s="63"/>
      <c r="D33" s="63"/>
      <c r="E33" s="63"/>
      <c r="F33" s="63"/>
      <c r="G33" s="63"/>
      <c r="H33" s="63"/>
      <c r="I33" s="63"/>
      <c r="J33" s="63">
        <f t="shared" si="7"/>
        <v>2042</v>
      </c>
      <c r="K33" s="74">
        <f t="shared" si="0"/>
        <v>140.93557128420068</v>
      </c>
      <c r="L33" s="74">
        <f t="shared" si="1"/>
        <v>29.2255207355846</v>
      </c>
      <c r="M33" s="63"/>
      <c r="N33" s="63"/>
      <c r="O33" s="63">
        <f t="shared" si="4"/>
        <v>8.875809678533749</v>
      </c>
      <c r="P33" s="74">
        <f t="shared" si="5"/>
        <v>1.2594456954651578</v>
      </c>
      <c r="Q33" s="63"/>
      <c r="R33" s="63">
        <f t="shared" si="6"/>
        <v>6.800000000000001</v>
      </c>
      <c r="S33" s="74">
        <f t="shared" si="2"/>
        <v>1.4101020714012882</v>
      </c>
      <c r="T33" s="63"/>
    </row>
    <row r="34" spans="1:20" ht="15">
      <c r="A34" s="63"/>
      <c r="B34" s="63"/>
      <c r="C34" s="63"/>
      <c r="D34" s="63"/>
      <c r="E34" s="63"/>
      <c r="F34" s="63"/>
      <c r="G34" s="63"/>
      <c r="H34" s="63"/>
      <c r="I34" s="63"/>
      <c r="J34" s="63">
        <f t="shared" si="7"/>
        <v>2043</v>
      </c>
      <c r="K34" s="74">
        <f t="shared" si="0"/>
        <v>142.76773371089527</v>
      </c>
      <c r="L34" s="74">
        <f t="shared" si="1"/>
        <v>27.929672174667164</v>
      </c>
      <c r="M34" s="63"/>
      <c r="N34" s="63"/>
      <c r="O34" s="63">
        <f t="shared" si="4"/>
        <v>9.053325872104423</v>
      </c>
      <c r="P34" s="74">
        <f t="shared" si="5"/>
        <v>1.195008938952987</v>
      </c>
      <c r="Q34" s="63"/>
      <c r="R34" s="63">
        <f t="shared" si="6"/>
        <v>6.800000000000001</v>
      </c>
      <c r="S34" s="74">
        <f t="shared" si="2"/>
        <v>1.3302849730200832</v>
      </c>
      <c r="T34" s="63"/>
    </row>
    <row r="35" spans="1:20" ht="15">
      <c r="A35" s="63"/>
      <c r="B35" s="63"/>
      <c r="C35" s="63"/>
      <c r="D35" s="63"/>
      <c r="E35" s="63"/>
      <c r="F35" s="63"/>
      <c r="G35" s="63"/>
      <c r="H35" s="63"/>
      <c r="I35" s="63"/>
      <c r="J35" s="63">
        <f t="shared" si="7"/>
        <v>2044</v>
      </c>
      <c r="K35" s="74">
        <f t="shared" si="0"/>
        <v>144.6237142491369</v>
      </c>
      <c r="L35" s="74">
        <f t="shared" si="1"/>
        <v>26.691281049941352</v>
      </c>
      <c r="M35" s="63"/>
      <c r="N35" s="63"/>
      <c r="O35" s="63">
        <f t="shared" si="4"/>
        <v>9.234392389546512</v>
      </c>
      <c r="P35" s="74">
        <f t="shared" si="5"/>
        <v>1.1338689467274852</v>
      </c>
      <c r="Q35" s="63"/>
      <c r="R35" s="63">
        <f t="shared" si="6"/>
        <v>6.800000000000001</v>
      </c>
      <c r="S35" s="74">
        <f t="shared" si="2"/>
        <v>1.254985823603852</v>
      </c>
      <c r="T35" s="63"/>
    </row>
    <row r="36" spans="1:20" ht="15">
      <c r="A36" s="63"/>
      <c r="B36" s="63"/>
      <c r="C36" s="63"/>
      <c r="D36" s="63"/>
      <c r="E36" s="63"/>
      <c r="F36" s="63"/>
      <c r="G36" s="63"/>
      <c r="H36" s="63"/>
      <c r="I36" s="63"/>
      <c r="J36" s="63">
        <f t="shared" si="7"/>
        <v>2045</v>
      </c>
      <c r="K36" s="74">
        <f t="shared" si="0"/>
        <v>146.50382253437567</v>
      </c>
      <c r="L36" s="74">
        <f t="shared" si="1"/>
        <v>25.50779972036848</v>
      </c>
      <c r="M36" s="63"/>
      <c r="N36" s="63"/>
      <c r="O36" s="63">
        <f t="shared" si="4"/>
        <v>9.419080237337443</v>
      </c>
      <c r="P36" s="74">
        <f t="shared" si="5"/>
        <v>1.0758570471274744</v>
      </c>
      <c r="Q36" s="63"/>
      <c r="R36" s="63">
        <f t="shared" si="6"/>
        <v>6.800000000000001</v>
      </c>
      <c r="S36" s="74">
        <f t="shared" si="2"/>
        <v>1.1839488901923132</v>
      </c>
      <c r="T36" s="63"/>
    </row>
    <row r="37" spans="1:20" ht="15">
      <c r="A37" s="92"/>
      <c r="B37" s="63"/>
      <c r="C37" s="63"/>
      <c r="D37" s="63"/>
      <c r="E37" s="63"/>
      <c r="F37" s="63"/>
      <c r="G37" s="63"/>
      <c r="H37" s="63"/>
      <c r="I37" s="63"/>
      <c r="J37" s="63">
        <f t="shared" si="7"/>
        <v>2046</v>
      </c>
      <c r="K37" s="74">
        <f t="shared" si="0"/>
        <v>148.40837222732253</v>
      </c>
      <c r="L37" s="74">
        <f t="shared" si="1"/>
        <v>24.376793506352133</v>
      </c>
      <c r="M37" s="63"/>
      <c r="N37" s="63"/>
      <c r="O37" s="63">
        <f t="shared" si="4"/>
        <v>9.607461842084192</v>
      </c>
      <c r="P37" s="74">
        <f t="shared" si="5"/>
        <v>1.0208131982046733</v>
      </c>
      <c r="Q37" s="63"/>
      <c r="R37" s="63">
        <f t="shared" si="6"/>
        <v>6.800000000000001</v>
      </c>
      <c r="S37" s="74">
        <f t="shared" si="2"/>
        <v>1.116932915275767</v>
      </c>
      <c r="T37" s="63"/>
    </row>
    <row r="38" spans="1:20" ht="15">
      <c r="A38" s="83"/>
      <c r="B38" s="63"/>
      <c r="C38" s="63"/>
      <c r="D38" s="63"/>
      <c r="E38" s="63"/>
      <c r="F38" s="63"/>
      <c r="G38" s="63"/>
      <c r="H38" s="63"/>
      <c r="I38" s="63"/>
      <c r="J38" s="63">
        <f t="shared" si="7"/>
        <v>2047</v>
      </c>
      <c r="K38" s="74">
        <f t="shared" si="0"/>
        <v>150.3376810662777</v>
      </c>
      <c r="L38" s="74">
        <f t="shared" si="1"/>
        <v>23.295935681070482</v>
      </c>
      <c r="M38" s="63"/>
      <c r="N38" s="63"/>
      <c r="O38" s="63">
        <f t="shared" si="4"/>
        <v>9.799611078925876</v>
      </c>
      <c r="P38" s="74">
        <f t="shared" si="5"/>
        <v>0.9685855462035042</v>
      </c>
      <c r="Q38" s="63"/>
      <c r="R38" s="63">
        <f t="shared" si="6"/>
        <v>6.800000000000001</v>
      </c>
      <c r="S38" s="74">
        <f t="shared" si="2"/>
        <v>1.053710297429969</v>
      </c>
      <c r="T38" s="63"/>
    </row>
    <row r="39" spans="1:20" ht="15">
      <c r="A39" s="83"/>
      <c r="B39" s="90"/>
      <c r="C39" s="63"/>
      <c r="D39" s="63"/>
      <c r="E39" s="63"/>
      <c r="F39" s="63"/>
      <c r="G39" s="63"/>
      <c r="H39" s="63"/>
      <c r="I39" s="63"/>
      <c r="J39" s="63">
        <f t="shared" si="7"/>
        <v>2048</v>
      </c>
      <c r="K39" s="74">
        <f t="shared" si="0"/>
        <v>152.29207092013928</v>
      </c>
      <c r="L39" s="74">
        <f t="shared" si="1"/>
        <v>22.26300268389094</v>
      </c>
      <c r="M39" s="63"/>
      <c r="N39" s="63"/>
      <c r="O39" s="63">
        <f t="shared" si="4"/>
        <v>9.995603300504394</v>
      </c>
      <c r="P39" s="74">
        <f t="shared" si="5"/>
        <v>0.9190300066303018</v>
      </c>
      <c r="Q39" s="63"/>
      <c r="R39" s="63">
        <f t="shared" si="6"/>
        <v>6.800000000000001</v>
      </c>
      <c r="S39" s="74">
        <f t="shared" si="2"/>
        <v>0.9940663183301595</v>
      </c>
      <c r="T39" s="63"/>
    </row>
    <row r="40" spans="1:20" ht="15">
      <c r="A40" s="83"/>
      <c r="B40" s="63"/>
      <c r="C40" s="63"/>
      <c r="D40" s="63"/>
      <c r="E40" s="63"/>
      <c r="F40" s="63"/>
      <c r="G40" s="63"/>
      <c r="H40" s="63"/>
      <c r="I40" s="63"/>
      <c r="J40" s="63">
        <f t="shared" si="7"/>
        <v>2049</v>
      </c>
      <c r="K40" s="74">
        <f t="shared" si="0"/>
        <v>154.27186784210107</v>
      </c>
      <c r="L40" s="74">
        <f t="shared" si="1"/>
        <v>21.275869546020296</v>
      </c>
      <c r="M40" s="63"/>
      <c r="N40" s="63"/>
      <c r="O40" s="63">
        <f t="shared" si="4"/>
        <v>10.195515366514481</v>
      </c>
      <c r="P40" s="74">
        <f t="shared" si="5"/>
        <v>0.8720098667561933</v>
      </c>
      <c r="Q40" s="63"/>
      <c r="R40" s="63">
        <f t="shared" si="6"/>
        <v>6.800000000000001</v>
      </c>
      <c r="S40" s="74">
        <f t="shared" si="2"/>
        <v>0.9377984135190182</v>
      </c>
      <c r="T40" s="63"/>
    </row>
    <row r="41" spans="1:20" ht="15">
      <c r="A41" s="63"/>
      <c r="B41" s="63"/>
      <c r="C41" s="63"/>
      <c r="D41" s="63"/>
      <c r="E41" s="63"/>
      <c r="F41" s="63"/>
      <c r="G41" s="63"/>
      <c r="H41" s="63"/>
      <c r="I41" s="63"/>
      <c r="J41" s="63">
        <f t="shared" si="7"/>
        <v>2050</v>
      </c>
      <c r="K41" s="74">
        <f t="shared" si="0"/>
        <v>156.27740212404836</v>
      </c>
      <c r="L41" s="74">
        <f t="shared" si="1"/>
        <v>20.33250551897977</v>
      </c>
      <c r="M41" s="63"/>
      <c r="N41" s="63"/>
      <c r="O41" s="63">
        <f t="shared" si="4"/>
        <v>10.399425673844771</v>
      </c>
      <c r="P41" s="74">
        <f t="shared" si="5"/>
        <v>0.8273954084570393</v>
      </c>
      <c r="Q41" s="63"/>
      <c r="R41" s="63">
        <f t="shared" si="6"/>
        <v>6.800000000000001</v>
      </c>
      <c r="S41" s="74">
        <f t="shared" si="2"/>
        <v>0.8847154844519038</v>
      </c>
      <c r="T41" s="63"/>
    </row>
    <row r="42" spans="1:20" ht="15">
      <c r="A42" s="63"/>
      <c r="B42" s="63"/>
      <c r="C42" s="63"/>
      <c r="D42" s="63"/>
      <c r="E42" s="63"/>
      <c r="F42" s="63"/>
      <c r="G42" s="63"/>
      <c r="H42" s="63"/>
      <c r="I42" s="63"/>
      <c r="J42" s="63">
        <f t="shared" si="7"/>
        <v>2051</v>
      </c>
      <c r="K42" s="74" t="s">
        <v>29</v>
      </c>
      <c r="L42" s="93">
        <f>SUM(L7:L41)</f>
        <v>1705.0410851729926</v>
      </c>
      <c r="M42" s="63"/>
      <c r="N42" s="63"/>
      <c r="O42" s="63"/>
      <c r="P42" s="74">
        <f>SUM(P7:P41)</f>
        <v>81.09193969770588</v>
      </c>
      <c r="Q42" s="63"/>
      <c r="R42" s="63">
        <f t="shared" si="6"/>
        <v>6.800000000000001</v>
      </c>
      <c r="S42" s="74">
        <f t="shared" si="2"/>
        <v>0.8346372494829282</v>
      </c>
      <c r="T42" s="74">
        <f>SUM(S7:S41)</f>
        <v>98.58807525913485</v>
      </c>
    </row>
    <row r="43" spans="1:20" ht="15">
      <c r="A43" s="63"/>
      <c r="B43" s="63"/>
      <c r="C43" s="63"/>
      <c r="D43" s="63"/>
      <c r="E43" s="63"/>
      <c r="F43" s="63"/>
      <c r="G43" s="63"/>
      <c r="H43" s="63"/>
      <c r="I43" s="63"/>
      <c r="J43" s="63">
        <f t="shared" si="7"/>
        <v>2052</v>
      </c>
      <c r="K43" s="63"/>
      <c r="L43" s="63"/>
      <c r="M43" s="63"/>
      <c r="N43" s="63"/>
      <c r="O43" s="63"/>
      <c r="P43" s="63"/>
      <c r="Q43" s="63"/>
      <c r="R43" s="63">
        <f t="shared" si="6"/>
        <v>6.800000000000001</v>
      </c>
      <c r="S43" s="74">
        <f t="shared" si="2"/>
        <v>0.7873936315876681</v>
      </c>
      <c r="T43" s="63"/>
    </row>
    <row r="44" spans="1:20" ht="15">
      <c r="A44" s="63"/>
      <c r="B44" s="63"/>
      <c r="C44" s="63"/>
      <c r="D44" s="63"/>
      <c r="E44" s="63"/>
      <c r="F44" s="63"/>
      <c r="G44" s="63"/>
      <c r="H44" s="63"/>
      <c r="I44" s="63"/>
      <c r="J44" s="63">
        <f t="shared" si="7"/>
        <v>2053</v>
      </c>
      <c r="K44" s="63"/>
      <c r="L44" s="63"/>
      <c r="M44" s="63"/>
      <c r="N44" s="63"/>
      <c r="O44" s="63"/>
      <c r="P44" s="63"/>
      <c r="Q44" s="63"/>
      <c r="R44" s="63">
        <f t="shared" si="6"/>
        <v>6.800000000000001</v>
      </c>
      <c r="S44" s="74">
        <f t="shared" si="2"/>
        <v>0.7428241807430829</v>
      </c>
      <c r="T44" s="63"/>
    </row>
    <row r="45" spans="1:20" ht="15">
      <c r="A45" s="63"/>
      <c r="B45" s="63"/>
      <c r="C45" s="63"/>
      <c r="D45" s="63"/>
      <c r="E45" s="63"/>
      <c r="F45" s="63"/>
      <c r="G45" s="63"/>
      <c r="H45" s="63"/>
      <c r="I45" s="63"/>
      <c r="J45" s="63">
        <f t="shared" si="7"/>
        <v>2054</v>
      </c>
      <c r="K45" s="63"/>
      <c r="L45" s="63"/>
      <c r="M45" s="63"/>
      <c r="N45" s="63">
        <v>0.4</v>
      </c>
      <c r="O45" s="63">
        <v>1.05</v>
      </c>
      <c r="P45" s="63">
        <f>N45*O45</f>
        <v>0.42000000000000004</v>
      </c>
      <c r="Q45" s="63"/>
      <c r="R45" s="63">
        <f t="shared" si="6"/>
        <v>6.800000000000001</v>
      </c>
      <c r="S45" s="74">
        <f t="shared" si="2"/>
        <v>0.7007775290029084</v>
      </c>
      <c r="T45" s="63"/>
    </row>
    <row r="46" spans="1:20" ht="15">
      <c r="A46" s="63"/>
      <c r="B46" s="63"/>
      <c r="C46" s="63"/>
      <c r="D46" s="63"/>
      <c r="E46" s="63"/>
      <c r="F46" s="63"/>
      <c r="G46" s="63"/>
      <c r="H46" s="63"/>
      <c r="I46" s="63"/>
      <c r="J46" s="63">
        <f t="shared" si="7"/>
        <v>2055</v>
      </c>
      <c r="K46" s="63"/>
      <c r="L46" s="63"/>
      <c r="M46" s="63"/>
      <c r="N46" s="63">
        <v>0.6</v>
      </c>
      <c r="O46" s="63">
        <v>0.75</v>
      </c>
      <c r="P46" s="63">
        <f>N46*O46</f>
        <v>0.44999999999999996</v>
      </c>
      <c r="Q46" s="63"/>
      <c r="R46" s="63">
        <f t="shared" si="6"/>
        <v>6.800000000000001</v>
      </c>
      <c r="S46" s="74">
        <f t="shared" si="2"/>
        <v>0.6611108764178382</v>
      </c>
      <c r="T46" s="63"/>
    </row>
    <row r="47" spans="1:20" ht="15">
      <c r="A47" s="63"/>
      <c r="B47" s="63"/>
      <c r="C47" s="63"/>
      <c r="D47" s="63"/>
      <c r="E47" s="63"/>
      <c r="F47" s="63"/>
      <c r="G47" s="63"/>
      <c r="H47" s="63"/>
      <c r="I47" s="63"/>
      <c r="J47" s="63">
        <f t="shared" si="7"/>
        <v>2056</v>
      </c>
      <c r="K47" s="63"/>
      <c r="L47" s="63"/>
      <c r="M47" s="63"/>
      <c r="N47" s="63"/>
      <c r="O47" s="63"/>
      <c r="P47" s="63">
        <f>SUM(P45:P46)</f>
        <v>0.87</v>
      </c>
      <c r="Q47" s="63"/>
      <c r="R47" s="63">
        <f t="shared" si="6"/>
        <v>6.800000000000001</v>
      </c>
      <c r="S47" s="74">
        <f t="shared" si="2"/>
        <v>0.6236895060545643</v>
      </c>
      <c r="T47" s="63"/>
    </row>
    <row r="48" spans="1:20" ht="15">
      <c r="A48" s="63"/>
      <c r="B48" s="63"/>
      <c r="C48" s="63"/>
      <c r="D48" s="63"/>
      <c r="E48" s="63"/>
      <c r="F48" s="63"/>
      <c r="G48" s="63"/>
      <c r="H48" s="63"/>
      <c r="I48" s="63"/>
      <c r="J48" s="63">
        <f t="shared" si="7"/>
        <v>2057</v>
      </c>
      <c r="K48" s="63"/>
      <c r="L48" s="63"/>
      <c r="M48" s="63"/>
      <c r="N48" s="63"/>
      <c r="O48" s="63"/>
      <c r="P48" s="63"/>
      <c r="Q48" s="63"/>
      <c r="R48" s="63">
        <f t="shared" si="6"/>
        <v>6.800000000000001</v>
      </c>
      <c r="S48" s="74">
        <f t="shared" si="2"/>
        <v>0.5883863264665701</v>
      </c>
      <c r="T48" s="63"/>
    </row>
    <row r="49" spans="1:20" ht="15">
      <c r="A49" s="63"/>
      <c r="B49" s="63"/>
      <c r="C49" s="63"/>
      <c r="D49" s="63"/>
      <c r="E49" s="63"/>
      <c r="F49" s="63"/>
      <c r="G49" s="63"/>
      <c r="H49" s="63"/>
      <c r="I49" s="63"/>
      <c r="J49" s="63">
        <f t="shared" si="7"/>
        <v>2058</v>
      </c>
      <c r="K49" s="63"/>
      <c r="L49" s="63"/>
      <c r="M49" s="63"/>
      <c r="N49" s="63"/>
      <c r="O49" s="63"/>
      <c r="P49" s="63"/>
      <c r="Q49" s="63"/>
      <c r="R49" s="63">
        <f t="shared" si="6"/>
        <v>6.800000000000001</v>
      </c>
      <c r="S49" s="74">
        <f t="shared" si="2"/>
        <v>0.5550814400628018</v>
      </c>
      <c r="T49" s="63"/>
    </row>
    <row r="50" spans="1:20" ht="15">
      <c r="A50" s="63"/>
      <c r="B50" s="63"/>
      <c r="C50" s="63"/>
      <c r="D50" s="63"/>
      <c r="E50" s="63"/>
      <c r="F50" s="63"/>
      <c r="G50" s="63"/>
      <c r="H50" s="63"/>
      <c r="I50" s="63"/>
      <c r="J50" s="63">
        <f t="shared" si="7"/>
        <v>2059</v>
      </c>
      <c r="K50" s="63"/>
      <c r="L50" s="63"/>
      <c r="M50" s="63"/>
      <c r="N50" s="63"/>
      <c r="O50" s="63"/>
      <c r="P50" s="63"/>
      <c r="Q50" s="63"/>
      <c r="R50" s="63">
        <f t="shared" si="6"/>
        <v>6.800000000000001</v>
      </c>
      <c r="S50" s="74">
        <f t="shared" si="2"/>
        <v>0.5236617359083036</v>
      </c>
      <c r="T50" s="63"/>
    </row>
    <row r="51" spans="1:20" ht="15">
      <c r="A51" s="63"/>
      <c r="B51" s="63"/>
      <c r="C51" s="63"/>
      <c r="D51" s="63"/>
      <c r="E51" s="63"/>
      <c r="F51" s="63"/>
      <c r="G51" s="63"/>
      <c r="H51" s="63"/>
      <c r="I51" s="63"/>
      <c r="J51" s="63">
        <f t="shared" si="7"/>
        <v>2060</v>
      </c>
      <c r="K51" s="63"/>
      <c r="L51" s="63"/>
      <c r="M51" s="63"/>
      <c r="N51" s="63"/>
      <c r="O51" s="63"/>
      <c r="P51" s="63"/>
      <c r="Q51" s="63"/>
      <c r="R51" s="63">
        <f t="shared" si="6"/>
        <v>6.800000000000001</v>
      </c>
      <c r="S51" s="74">
        <f t="shared" si="2"/>
        <v>0.4940205055738713</v>
      </c>
      <c r="T51" s="63"/>
    </row>
    <row r="52" spans="1:20" ht="15">
      <c r="A52" s="63"/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74">
        <f>SUM(S7:S51)</f>
        <v>105.09965824043539</v>
      </c>
      <c r="T52" s="63"/>
    </row>
    <row r="53" spans="1:9" ht="15">
      <c r="A53" s="63"/>
      <c r="B53" s="63"/>
      <c r="C53" s="63"/>
      <c r="D53" s="63"/>
      <c r="E53" s="63"/>
      <c r="F53" s="63"/>
      <c r="G53" s="63"/>
      <c r="H53" s="63"/>
      <c r="I53" s="63"/>
    </row>
    <row r="54" spans="1:9" ht="15">
      <c r="A54" s="63"/>
      <c r="B54" s="63"/>
      <c r="C54" s="63"/>
      <c r="D54" s="63"/>
      <c r="E54" s="63"/>
      <c r="F54" s="63"/>
      <c r="G54" s="63"/>
      <c r="H54" s="63"/>
      <c r="I54" s="63"/>
    </row>
    <row r="55" spans="1:20" ht="15">
      <c r="A55" s="63"/>
      <c r="B55" s="63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</row>
  </sheetData>
  <sheetProtection/>
  <printOptions/>
  <pageMargins left="0.7" right="0.7" top="0.75" bottom="0.75" header="0.3" footer="0.3"/>
  <pageSetup horizontalDpi="600" verticalDpi="600" orientation="landscape" paperSize="17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1"/>
  <sheetViews>
    <sheetView zoomScalePageLayoutView="0" workbookViewId="0" topLeftCell="A1">
      <selection activeCell="G35" sqref="G35"/>
    </sheetView>
  </sheetViews>
  <sheetFormatPr defaultColWidth="9.140625" defaultRowHeight="15"/>
  <cols>
    <col min="1" max="1" width="4.140625" style="0" customWidth="1"/>
    <col min="2" max="2" width="27.421875" style="0" customWidth="1"/>
    <col min="3" max="3" width="12.8515625" style="0" customWidth="1"/>
    <col min="4" max="4" width="10.00390625" style="0" customWidth="1"/>
    <col min="5" max="5" width="9.8515625" style="0" customWidth="1"/>
    <col min="6" max="7" width="10.00390625" style="0" customWidth="1"/>
    <col min="9" max="9" width="7.421875" style="0" customWidth="1"/>
    <col min="13" max="13" width="3.421875" style="0" customWidth="1"/>
  </cols>
  <sheetData>
    <row r="1" spans="1:8" ht="18.75">
      <c r="A1" s="21"/>
      <c r="B1" s="22"/>
      <c r="C1" s="30" t="s">
        <v>45</v>
      </c>
      <c r="D1" s="22"/>
      <c r="E1" s="22"/>
      <c r="F1" s="22"/>
      <c r="G1" s="22"/>
      <c r="H1" s="23"/>
    </row>
    <row r="2" spans="1:10" ht="18.75">
      <c r="A2" s="24"/>
      <c r="B2" s="31" t="s">
        <v>59</v>
      </c>
      <c r="C2" s="4"/>
      <c r="D2" s="4"/>
      <c r="E2" s="4"/>
      <c r="F2" s="4"/>
      <c r="G2" s="4"/>
      <c r="H2" s="25"/>
      <c r="J2" s="43">
        <v>0.0128</v>
      </c>
    </row>
    <row r="3" spans="1:14" ht="15">
      <c r="A3" s="24"/>
      <c r="B3" s="4"/>
      <c r="C3" s="4"/>
      <c r="D3" s="4"/>
      <c r="E3" s="4"/>
      <c r="F3" s="4"/>
      <c r="G3" s="4"/>
      <c r="H3" s="25"/>
      <c r="K3" t="s">
        <v>35</v>
      </c>
      <c r="N3" t="s">
        <v>36</v>
      </c>
    </row>
    <row r="4" spans="1:18" ht="15">
      <c r="A4" s="24"/>
      <c r="B4" s="4"/>
      <c r="C4" s="4"/>
      <c r="D4" s="4" t="s">
        <v>0</v>
      </c>
      <c r="E4" s="4" t="s">
        <v>1</v>
      </c>
      <c r="F4" s="4" t="s">
        <v>6</v>
      </c>
      <c r="G4" s="4" t="s">
        <v>7</v>
      </c>
      <c r="H4" s="25"/>
      <c r="K4" s="11" t="s">
        <v>28</v>
      </c>
      <c r="L4" s="11">
        <v>2015</v>
      </c>
      <c r="R4">
        <v>150</v>
      </c>
    </row>
    <row r="5" spans="1:20" ht="15">
      <c r="A5" s="27" t="s">
        <v>14</v>
      </c>
      <c r="B5" s="4"/>
      <c r="C5" s="4"/>
      <c r="D5" s="4"/>
      <c r="E5" s="4"/>
      <c r="F5" s="4"/>
      <c r="G5" s="4"/>
      <c r="H5" s="25"/>
      <c r="J5">
        <v>2015</v>
      </c>
      <c r="K5" s="8">
        <f>F25</f>
        <v>21.826226325949808</v>
      </c>
      <c r="L5" s="8"/>
      <c r="N5" s="8">
        <f>F36</f>
        <v>39.373773674050184</v>
      </c>
      <c r="Q5" s="9"/>
      <c r="R5">
        <f>R4*0.068</f>
        <v>10.200000000000001</v>
      </c>
      <c r="S5" s="3"/>
      <c r="T5">
        <v>900</v>
      </c>
    </row>
    <row r="6" spans="1:19" ht="15">
      <c r="A6" s="24"/>
      <c r="B6" s="4" t="s">
        <v>15</v>
      </c>
      <c r="C6" s="4"/>
      <c r="D6" s="32" t="s">
        <v>16</v>
      </c>
      <c r="E6" s="32" t="s">
        <v>18</v>
      </c>
      <c r="F6" s="32" t="s">
        <v>17</v>
      </c>
      <c r="G6" s="4"/>
      <c r="H6" s="33" t="s">
        <v>40</v>
      </c>
      <c r="J6">
        <f aca="true" t="shared" si="0" ref="J6:J50">J5+1</f>
        <v>2016</v>
      </c>
      <c r="K6" s="8">
        <f>K5*(1+$I$26)</f>
        <v>22.0466712118419</v>
      </c>
      <c r="L6" s="8">
        <f>K6/(1.06^($J6-$J$5))</f>
        <v>20.798746426265943</v>
      </c>
      <c r="N6" s="8">
        <f aca="true" t="shared" si="1" ref="N6:N40">N5*(1+$N$42)</f>
        <v>39.9328812602217</v>
      </c>
      <c r="O6" s="9">
        <f>N6/(1.06^(J6-J$5))</f>
        <v>37.67252949077518</v>
      </c>
      <c r="Q6" s="8"/>
      <c r="R6" s="9">
        <f>R5*(1+J$2)</f>
        <v>10.33056</v>
      </c>
      <c r="S6" s="8">
        <f>R6/(1.06^($J6-$J$5))</f>
        <v>9.745811320754717</v>
      </c>
    </row>
    <row r="7" spans="1:19" ht="15">
      <c r="A7" s="24"/>
      <c r="B7" s="4" t="s">
        <v>41</v>
      </c>
      <c r="C7" s="19">
        <v>1</v>
      </c>
      <c r="D7" s="4"/>
      <c r="E7" s="4">
        <v>75</v>
      </c>
      <c r="F7" s="34">
        <f>450+600</f>
        <v>1050</v>
      </c>
      <c r="G7" s="4"/>
      <c r="H7" s="25"/>
      <c r="J7">
        <f t="shared" si="0"/>
        <v>2017</v>
      </c>
      <c r="K7" s="8">
        <f aca="true" t="shared" si="2" ref="K7:K40">K6*(1+I$26)</f>
        <v>22.269342591081504</v>
      </c>
      <c r="L7" s="8">
        <f aca="true" t="shared" si="3" ref="L7:L40">K7/(1.06^(J7-J$5))</f>
        <v>19.819635627520025</v>
      </c>
      <c r="N7" s="8">
        <f t="shared" si="1"/>
        <v>40.499928174116846</v>
      </c>
      <c r="O7" s="9">
        <f aca="true" t="shared" si="4" ref="O7:O40">N7/(1.06^(J7-J$5))</f>
        <v>36.04479189579641</v>
      </c>
      <c r="Q7" s="8"/>
      <c r="R7" s="9">
        <f aca="true" t="shared" si="5" ref="R7:R50">R6*(1+J$2)</f>
        <v>10.462791167999999</v>
      </c>
      <c r="S7" s="8">
        <f aca="true" t="shared" si="6" ref="S7:S50">R7/(1.06^($J7-$J$5))</f>
        <v>9.31184689213243</v>
      </c>
    </row>
    <row r="8" spans="1:19" ht="15">
      <c r="A8" s="24"/>
      <c r="B8" s="1" t="s">
        <v>42</v>
      </c>
      <c r="C8" s="14">
        <v>2</v>
      </c>
      <c r="D8" s="1"/>
      <c r="E8" s="1"/>
      <c r="F8" s="1">
        <v>150</v>
      </c>
      <c r="G8" s="1"/>
      <c r="H8" s="35">
        <v>0</v>
      </c>
      <c r="J8">
        <f t="shared" si="0"/>
        <v>2018</v>
      </c>
      <c r="K8" s="8">
        <f t="shared" si="2"/>
        <v>22.494262951251425</v>
      </c>
      <c r="L8" s="8">
        <f t="shared" si="3"/>
        <v>18.88661693146979</v>
      </c>
      <c r="N8" s="8">
        <f t="shared" si="1"/>
        <v>41.07502715418931</v>
      </c>
      <c r="O8" s="9">
        <f t="shared" si="4"/>
        <v>34.48738484973275</v>
      </c>
      <c r="Q8" s="8"/>
      <c r="R8" s="9">
        <f t="shared" si="5"/>
        <v>10.596714894950399</v>
      </c>
      <c r="S8" s="8">
        <f t="shared" si="6"/>
        <v>8.897206162595966</v>
      </c>
    </row>
    <row r="9" spans="1:19" ht="15">
      <c r="A9" s="24"/>
      <c r="B9" s="2" t="s">
        <v>43</v>
      </c>
      <c r="C9" s="19" t="s">
        <v>78</v>
      </c>
      <c r="D9" s="4"/>
      <c r="E9" s="4">
        <f>E7</f>
        <v>75</v>
      </c>
      <c r="F9" s="34">
        <f>F7-F8</f>
        <v>900</v>
      </c>
      <c r="G9" s="4"/>
      <c r="H9" s="25"/>
      <c r="J9">
        <f t="shared" si="0"/>
        <v>2019</v>
      </c>
      <c r="K9" s="8">
        <f t="shared" si="2"/>
        <v>22.721455007059063</v>
      </c>
      <c r="L9" s="8">
        <f t="shared" si="3"/>
        <v>17.997520530639274</v>
      </c>
      <c r="N9" s="8">
        <f t="shared" si="1"/>
        <v>41.65829253977879</v>
      </c>
      <c r="O9" s="9">
        <f t="shared" si="4"/>
        <v>32.99726954207448</v>
      </c>
      <c r="Q9" s="8"/>
      <c r="R9" s="9">
        <f t="shared" si="5"/>
        <v>10.732352845605764</v>
      </c>
      <c r="S9" s="8">
        <f t="shared" si="6"/>
        <v>8.501028680638862</v>
      </c>
    </row>
    <row r="10" spans="1:19" ht="15">
      <c r="A10" s="24"/>
      <c r="B10" s="4"/>
      <c r="C10" s="19"/>
      <c r="D10" s="4"/>
      <c r="E10" s="4"/>
      <c r="F10" s="4"/>
      <c r="G10" s="4"/>
      <c r="H10" s="25"/>
      <c r="J10">
        <f t="shared" si="0"/>
        <v>2020</v>
      </c>
      <c r="K10" s="8">
        <f t="shared" si="2"/>
        <v>22.95094170263036</v>
      </c>
      <c r="L10" s="8">
        <f t="shared" si="3"/>
        <v>17.15027876226295</v>
      </c>
      <c r="N10" s="8">
        <f t="shared" si="1"/>
        <v>42.24984029384365</v>
      </c>
      <c r="O10" s="9">
        <f t="shared" si="4"/>
        <v>31.57153846186031</v>
      </c>
      <c r="Q10" s="8"/>
      <c r="R10" s="9">
        <f t="shared" si="5"/>
        <v>10.869726962029517</v>
      </c>
      <c r="S10" s="8">
        <f t="shared" si="6"/>
        <v>8.122492309199092</v>
      </c>
    </row>
    <row r="11" spans="1:20" ht="15">
      <c r="A11" s="27" t="s">
        <v>8</v>
      </c>
      <c r="B11" s="4"/>
      <c r="C11" s="4"/>
      <c r="D11" s="4"/>
      <c r="E11" s="4"/>
      <c r="F11" s="4"/>
      <c r="G11" s="4"/>
      <c r="H11" s="25"/>
      <c r="J11">
        <f t="shared" si="0"/>
        <v>2021</v>
      </c>
      <c r="K11" s="8">
        <f t="shared" si="2"/>
        <v>23.182746213826928</v>
      </c>
      <c r="L11" s="8">
        <f t="shared" si="3"/>
        <v>16.34292129977529</v>
      </c>
      <c r="N11" s="8">
        <f t="shared" si="1"/>
        <v>42.84978802601623</v>
      </c>
      <c r="O11" s="9">
        <f t="shared" si="4"/>
        <v>30.20740972454597</v>
      </c>
      <c r="Q11" s="8"/>
      <c r="R11" s="9">
        <f t="shared" si="5"/>
        <v>11.008859467143495</v>
      </c>
      <c r="S11" s="8">
        <f t="shared" si="6"/>
        <v>7.7608115195819245</v>
      </c>
      <c r="T11">
        <f>SUM(T9:T10)</f>
        <v>0</v>
      </c>
    </row>
    <row r="12" spans="1:19" ht="15">
      <c r="A12" s="24"/>
      <c r="B12" s="4" t="s">
        <v>75</v>
      </c>
      <c r="C12" s="19">
        <v>4</v>
      </c>
      <c r="D12" s="36">
        <v>80.5</v>
      </c>
      <c r="E12" s="36">
        <f>D12*1.013^5+E$9*0.068</f>
        <v>90.97032511069155</v>
      </c>
      <c r="F12" s="36">
        <f>E12*(1+J2)^7+F$9*0.068</f>
        <v>160.6410257589906</v>
      </c>
      <c r="G12" s="36">
        <f>F12*(1+J2)^35+G$9*0.068</f>
        <v>250.71811399078004</v>
      </c>
      <c r="H12" s="25"/>
      <c r="J12">
        <f t="shared" si="0"/>
        <v>2022</v>
      </c>
      <c r="K12" s="8">
        <f t="shared" si="2"/>
        <v>23.416891950586578</v>
      </c>
      <c r="L12" s="8">
        <f t="shared" si="3"/>
        <v>15.573570570663223</v>
      </c>
      <c r="N12" s="8">
        <f t="shared" si="1"/>
        <v>43.45825501598566</v>
      </c>
      <c r="O12" s="9">
        <f t="shared" si="4"/>
        <v>28.902221643994828</v>
      </c>
      <c r="Q12" s="8"/>
      <c r="R12" s="9">
        <f t="shared" si="5"/>
        <v>11.14977286832293</v>
      </c>
      <c r="S12" s="8">
        <f t="shared" si="6"/>
        <v>7.415235761351482</v>
      </c>
    </row>
    <row r="13" spans="1:19" ht="15">
      <c r="A13" s="24"/>
      <c r="B13" s="47"/>
      <c r="C13" s="4"/>
      <c r="D13" s="4"/>
      <c r="E13" s="4"/>
      <c r="F13" s="4"/>
      <c r="G13" s="4"/>
      <c r="H13" s="25"/>
      <c r="J13">
        <f t="shared" si="0"/>
        <v>2023</v>
      </c>
      <c r="K13" s="8">
        <f t="shared" si="2"/>
        <v>23.653402559287503</v>
      </c>
      <c r="L13" s="8">
        <f t="shared" si="3"/>
        <v>14.8404373900254</v>
      </c>
      <c r="N13" s="8">
        <f t="shared" si="1"/>
        <v>44.07536223721265</v>
      </c>
      <c r="O13" s="9">
        <f t="shared" si="4"/>
        <v>27.65342753899958</v>
      </c>
      <c r="Q13" s="8"/>
      <c r="R13" s="9">
        <f t="shared" si="5"/>
        <v>11.292489961037463</v>
      </c>
      <c r="S13" s="8">
        <f t="shared" si="6"/>
        <v>7.085047904808285</v>
      </c>
    </row>
    <row r="14" spans="1:19" ht="15">
      <c r="A14" s="27" t="s">
        <v>9</v>
      </c>
      <c r="B14" s="4"/>
      <c r="C14" s="37"/>
      <c r="D14" s="4"/>
      <c r="E14" s="4"/>
      <c r="F14" s="4"/>
      <c r="G14" s="4"/>
      <c r="H14" s="25"/>
      <c r="J14">
        <f t="shared" si="0"/>
        <v>2024</v>
      </c>
      <c r="K14" s="8">
        <f t="shared" si="2"/>
        <v>23.89230192513631</v>
      </c>
      <c r="L14" s="8">
        <f t="shared" si="3"/>
        <v>14.141816799683639</v>
      </c>
      <c r="N14" s="8">
        <f t="shared" si="1"/>
        <v>44.70123238098107</v>
      </c>
      <c r="O14" s="9">
        <f t="shared" si="4"/>
        <v>26.458590764201297</v>
      </c>
      <c r="Q14" s="8"/>
      <c r="R14" s="9">
        <f t="shared" si="5"/>
        <v>11.437033832538742</v>
      </c>
      <c r="S14" s="8">
        <f t="shared" si="6"/>
        <v>6.769562752820594</v>
      </c>
    </row>
    <row r="15" spans="1:19" ht="15">
      <c r="A15" s="24"/>
      <c r="B15" s="4" t="s">
        <v>5</v>
      </c>
      <c r="C15" s="19">
        <v>5</v>
      </c>
      <c r="D15" s="4">
        <v>2100</v>
      </c>
      <c r="E15" s="4">
        <v>2100</v>
      </c>
      <c r="F15" s="4">
        <v>1900</v>
      </c>
      <c r="G15" s="5">
        <f>F15*1.005^35</f>
        <v>2262.381091705955</v>
      </c>
      <c r="H15" s="25"/>
      <c r="J15">
        <f t="shared" si="0"/>
        <v>2025</v>
      </c>
      <c r="K15" s="8">
        <f t="shared" si="2"/>
        <v>24.133614174580185</v>
      </c>
      <c r="L15" s="8">
        <f t="shared" si="3"/>
        <v>13.476084103170228</v>
      </c>
      <c r="N15" s="8">
        <f t="shared" si="1"/>
        <v>45.335989880791</v>
      </c>
      <c r="O15" s="9">
        <f t="shared" si="4"/>
        <v>25.31537995571033</v>
      </c>
      <c r="Q15" s="8"/>
      <c r="R15" s="9">
        <f t="shared" si="5"/>
        <v>11.583427865595237</v>
      </c>
      <c r="S15" s="8">
        <f t="shared" si="6"/>
        <v>6.4681256189214125</v>
      </c>
    </row>
    <row r="16" spans="1:19" ht="15">
      <c r="A16" s="24"/>
      <c r="B16" s="4" t="s">
        <v>2</v>
      </c>
      <c r="C16" s="19">
        <v>6</v>
      </c>
      <c r="D16" s="4">
        <v>720</v>
      </c>
      <c r="E16" s="4">
        <v>1080</v>
      </c>
      <c r="F16" s="4">
        <v>1580</v>
      </c>
      <c r="G16" s="4">
        <v>1580</v>
      </c>
      <c r="H16" s="25"/>
      <c r="J16">
        <f t="shared" si="0"/>
        <v>2026</v>
      </c>
      <c r="K16" s="8">
        <f t="shared" si="2"/>
        <v>24.377363677743446</v>
      </c>
      <c r="L16" s="8">
        <f t="shared" si="3"/>
        <v>12.841691087370044</v>
      </c>
      <c r="N16" s="8">
        <f t="shared" si="1"/>
        <v>45.97976093709823</v>
      </c>
      <c r="O16" s="9">
        <f t="shared" si="4"/>
        <v>24.221564482152274</v>
      </c>
      <c r="Q16" s="8"/>
      <c r="R16" s="9">
        <f t="shared" si="5"/>
        <v>11.731695742274855</v>
      </c>
      <c r="S16" s="8">
        <f t="shared" si="6"/>
        <v>6.180110968720382</v>
      </c>
    </row>
    <row r="17" spans="1:19" ht="15">
      <c r="A17" s="24"/>
      <c r="B17" s="1" t="s">
        <v>3</v>
      </c>
      <c r="C17" s="14">
        <v>7</v>
      </c>
      <c r="D17" s="1">
        <v>300</v>
      </c>
      <c r="E17" s="1">
        <v>250</v>
      </c>
      <c r="F17" s="1">
        <v>200</v>
      </c>
      <c r="G17" s="1">
        <v>200</v>
      </c>
      <c r="H17" s="25"/>
      <c r="J17">
        <f t="shared" si="0"/>
        <v>2027</v>
      </c>
      <c r="K17" s="8">
        <f t="shared" si="2"/>
        <v>24.623575050888654</v>
      </c>
      <c r="L17" s="8">
        <f t="shared" si="3"/>
        <v>12.237162422030641</v>
      </c>
      <c r="N17" s="8">
        <f t="shared" si="1"/>
        <v>46.63267354240502</v>
      </c>
      <c r="O17" s="9">
        <f t="shared" si="4"/>
        <v>23.175010092263054</v>
      </c>
      <c r="Q17" s="8"/>
      <c r="R17" s="9">
        <f t="shared" si="5"/>
        <v>11.881861447775972</v>
      </c>
      <c r="S17" s="8">
        <f t="shared" si="6"/>
        <v>5.904921121811323</v>
      </c>
    </row>
    <row r="18" spans="1:19" ht="15">
      <c r="A18" s="24"/>
      <c r="B18" s="2" t="s">
        <v>4</v>
      </c>
      <c r="C18" s="15" t="s">
        <v>12</v>
      </c>
      <c r="D18" s="4">
        <f>SUM(D15:D17)</f>
        <v>3120</v>
      </c>
      <c r="E18" s="4">
        <f>SUM(E15:E17)</f>
        <v>3430</v>
      </c>
      <c r="F18" s="4">
        <f>SUM(F15:F17)</f>
        <v>3680</v>
      </c>
      <c r="G18" s="5">
        <f>SUM(G15:G17)</f>
        <v>4042.381091705955</v>
      </c>
      <c r="H18" s="25"/>
      <c r="J18">
        <f t="shared" si="0"/>
        <v>2028</v>
      </c>
      <c r="K18" s="8">
        <f t="shared" si="2"/>
        <v>24.87227315890263</v>
      </c>
      <c r="L18" s="8">
        <f t="shared" si="3"/>
        <v>11.661092228767123</v>
      </c>
      <c r="N18" s="8">
        <f t="shared" si="1"/>
        <v>47.294857506707174</v>
      </c>
      <c r="O18" s="9">
        <f t="shared" si="4"/>
        <v>22.17367475054074</v>
      </c>
      <c r="Q18" s="8"/>
      <c r="R18" s="9">
        <f t="shared" si="5"/>
        <v>12.033949274307503</v>
      </c>
      <c r="S18" s="8">
        <f t="shared" si="6"/>
        <v>5.6419850114816095</v>
      </c>
    </row>
    <row r="19" spans="1:19" ht="15">
      <c r="A19" s="24"/>
      <c r="B19" s="4"/>
      <c r="C19" s="4"/>
      <c r="D19" s="4"/>
      <c r="E19" s="4"/>
      <c r="F19" s="4"/>
      <c r="G19" s="4"/>
      <c r="H19" s="25"/>
      <c r="J19">
        <f t="shared" si="0"/>
        <v>2029</v>
      </c>
      <c r="K19" s="8">
        <f t="shared" si="2"/>
        <v>25.123483117807545</v>
      </c>
      <c r="L19" s="8">
        <f t="shared" si="3"/>
        <v>11.112140811582709</v>
      </c>
      <c r="N19" s="8">
        <f t="shared" si="1"/>
        <v>47.96644448330242</v>
      </c>
      <c r="O19" s="9">
        <f t="shared" si="4"/>
        <v>21.215604652828702</v>
      </c>
      <c r="Q19" s="8"/>
      <c r="R19" s="9">
        <f t="shared" si="5"/>
        <v>12.187983825018637</v>
      </c>
      <c r="S19" s="8">
        <f t="shared" si="6"/>
        <v>5.390756999649597</v>
      </c>
    </row>
    <row r="20" spans="1:19" ht="15">
      <c r="A20" s="27" t="s">
        <v>77</v>
      </c>
      <c r="B20" s="4"/>
      <c r="C20" s="4"/>
      <c r="D20" s="4"/>
      <c r="E20" s="4"/>
      <c r="F20" s="4"/>
      <c r="G20" s="4"/>
      <c r="H20" s="25"/>
      <c r="J20">
        <f t="shared" si="0"/>
        <v>2030</v>
      </c>
      <c r="K20" s="8">
        <f t="shared" si="2"/>
        <v>25.3772302972974</v>
      </c>
      <c r="L20" s="8">
        <f t="shared" si="3"/>
        <v>10.589031541301596</v>
      </c>
      <c r="N20" s="8">
        <f t="shared" si="1"/>
        <v>48.647567994965314</v>
      </c>
      <c r="O20" s="9">
        <f t="shared" si="4"/>
        <v>20.29893041405553</v>
      </c>
      <c r="Q20" s="8"/>
      <c r="R20" s="9">
        <f t="shared" si="5"/>
        <v>12.343990017978875</v>
      </c>
      <c r="S20" s="8">
        <f t="shared" si="6"/>
        <v>5.150715744570859</v>
      </c>
    </row>
    <row r="21" spans="1:19" ht="15">
      <c r="A21" s="24"/>
      <c r="B21" s="4" t="s">
        <v>74</v>
      </c>
      <c r="C21" s="19" t="s">
        <v>13</v>
      </c>
      <c r="D21" s="36">
        <f>D12/D18*1000</f>
        <v>25.80128205128205</v>
      </c>
      <c r="E21" s="36">
        <f>E12/E18*1000</f>
        <v>26.521960673671003</v>
      </c>
      <c r="F21" s="36">
        <f>F12/F18*1000</f>
        <v>43.652452651899615</v>
      </c>
      <c r="G21" s="36">
        <f>G12/G18*1000</f>
        <v>62.022384407347566</v>
      </c>
      <c r="H21" s="25"/>
      <c r="J21">
        <f t="shared" si="0"/>
        <v>2031</v>
      </c>
      <c r="K21" s="8">
        <f t="shared" si="2"/>
        <v>25.633540323300107</v>
      </c>
      <c r="L21" s="8">
        <f t="shared" si="3"/>
        <v>10.090547886668627</v>
      </c>
      <c r="N21" s="8">
        <f t="shared" si="1"/>
        <v>49.338363460493824</v>
      </c>
      <c r="O21" s="9">
        <f t="shared" si="4"/>
        <v>19.421863420693516</v>
      </c>
      <c r="Q21" s="8"/>
      <c r="R21" s="9">
        <f t="shared" si="5"/>
        <v>12.501993090209004</v>
      </c>
      <c r="S21" s="8">
        <f t="shared" si="6"/>
        <v>4.921363118963554</v>
      </c>
    </row>
    <row r="22" spans="1:19" ht="15">
      <c r="A22" s="24"/>
      <c r="B22" s="4"/>
      <c r="C22" s="4"/>
      <c r="D22" s="4"/>
      <c r="E22" s="4"/>
      <c r="F22" s="4"/>
      <c r="G22" s="4"/>
      <c r="H22" s="25"/>
      <c r="J22">
        <f t="shared" si="0"/>
        <v>2032</v>
      </c>
      <c r="K22" s="8">
        <f t="shared" si="2"/>
        <v>25.89243908056544</v>
      </c>
      <c r="L22" s="8">
        <f t="shared" si="3"/>
        <v>9.615530585211301</v>
      </c>
      <c r="N22" s="8">
        <f t="shared" si="1"/>
        <v>50.038968221632835</v>
      </c>
      <c r="O22" s="9">
        <f t="shared" si="4"/>
        <v>18.582692340818266</v>
      </c>
      <c r="Q22" s="8"/>
      <c r="R22" s="9">
        <f t="shared" si="5"/>
        <v>12.662018601763679</v>
      </c>
      <c r="S22" s="8">
        <f t="shared" si="6"/>
        <v>4.702223176307817</v>
      </c>
    </row>
    <row r="23" spans="1:19" ht="15">
      <c r="A23" s="27" t="s">
        <v>71</v>
      </c>
      <c r="B23" s="4"/>
      <c r="C23" s="37"/>
      <c r="D23" s="4"/>
      <c r="E23" s="4"/>
      <c r="F23" s="4"/>
      <c r="G23" s="4"/>
      <c r="H23" s="25"/>
      <c r="J23">
        <f t="shared" si="0"/>
        <v>2033</v>
      </c>
      <c r="K23" s="8">
        <f t="shared" si="2"/>
        <v>26.15395271527915</v>
      </c>
      <c r="L23" s="8">
        <f t="shared" si="3"/>
        <v>9.162874947284845</v>
      </c>
      <c r="N23" s="8">
        <f t="shared" si="1"/>
        <v>50.74952157038002</v>
      </c>
      <c r="O23" s="9">
        <f t="shared" si="4"/>
        <v>17.779779784960265</v>
      </c>
      <c r="Q23" s="8"/>
      <c r="R23" s="9">
        <f t="shared" si="5"/>
        <v>12.824092439866252</v>
      </c>
      <c r="S23" s="8">
        <f t="shared" si="6"/>
        <v>4.49284116317411</v>
      </c>
    </row>
    <row r="24" spans="1:19" ht="15">
      <c r="A24" s="24"/>
      <c r="B24" s="4" t="s">
        <v>20</v>
      </c>
      <c r="C24" s="19">
        <v>10</v>
      </c>
      <c r="D24" s="4"/>
      <c r="E24" s="4"/>
      <c r="F24" s="34">
        <v>500</v>
      </c>
      <c r="G24" s="34">
        <v>500</v>
      </c>
      <c r="H24" s="25"/>
      <c r="J24">
        <f t="shared" si="0"/>
        <v>2034</v>
      </c>
      <c r="K24" s="8">
        <f t="shared" si="2"/>
        <v>26.418107637703468</v>
      </c>
      <c r="L24" s="8">
        <f t="shared" si="3"/>
        <v>8.731528287030585</v>
      </c>
      <c r="N24" s="8">
        <f t="shared" si="1"/>
        <v>51.47016477667941</v>
      </c>
      <c r="O24" s="9">
        <f t="shared" si="4"/>
        <v>17.011559111232735</v>
      </c>
      <c r="Q24" s="8"/>
      <c r="R24" s="9">
        <f t="shared" si="5"/>
        <v>12.98824082309654</v>
      </c>
      <c r="S24" s="8">
        <f t="shared" si="6"/>
        <v>4.292782575530885</v>
      </c>
    </row>
    <row r="25" spans="1:19" ht="15">
      <c r="A25" s="24"/>
      <c r="B25" s="4" t="s">
        <v>21</v>
      </c>
      <c r="C25" s="19" t="s">
        <v>79</v>
      </c>
      <c r="D25" s="4"/>
      <c r="E25" s="4"/>
      <c r="F25" s="36">
        <f>F24*F21/1000</f>
        <v>21.826226325949808</v>
      </c>
      <c r="G25" s="39">
        <f>G24*G21/1000</f>
        <v>31.011192203673783</v>
      </c>
      <c r="H25" s="38">
        <f>K40</f>
        <v>31.026418276952658</v>
      </c>
      <c r="I25" s="48" t="s">
        <v>19</v>
      </c>
      <c r="J25">
        <f t="shared" si="0"/>
        <v>2035</v>
      </c>
      <c r="K25" s="8">
        <f t="shared" si="2"/>
        <v>26.684930524844273</v>
      </c>
      <c r="L25" s="8">
        <f t="shared" si="3"/>
        <v>8.320487474273202</v>
      </c>
      <c r="N25" s="8">
        <f t="shared" si="1"/>
        <v>52.20104111650826</v>
      </c>
      <c r="O25" s="9">
        <f t="shared" si="4"/>
        <v>16.276531368502113</v>
      </c>
      <c r="Q25" s="8"/>
      <c r="R25" s="9">
        <f t="shared" si="5"/>
        <v>13.154490305632175</v>
      </c>
      <c r="S25" s="8">
        <f t="shared" si="6"/>
        <v>4.101632257073284</v>
      </c>
    </row>
    <row r="26" spans="1:19" ht="15">
      <c r="A26" s="24"/>
      <c r="B26" s="26" t="s">
        <v>22</v>
      </c>
      <c r="C26" s="19" t="s">
        <v>80</v>
      </c>
      <c r="D26" s="4"/>
      <c r="E26" s="4"/>
      <c r="F26" s="20">
        <f>L41</f>
        <v>360.1042410756469</v>
      </c>
      <c r="G26" s="4"/>
      <c r="H26" s="25"/>
      <c r="I26" s="49">
        <v>0.0101</v>
      </c>
      <c r="J26">
        <f t="shared" si="0"/>
        <v>2036</v>
      </c>
      <c r="K26" s="8">
        <f t="shared" si="2"/>
        <v>26.9544483231452</v>
      </c>
      <c r="L26" s="8">
        <f t="shared" si="3"/>
        <v>7.928796601663547</v>
      </c>
      <c r="N26" s="8">
        <f t="shared" si="1"/>
        <v>52.94229590036267</v>
      </c>
      <c r="O26" s="9">
        <f t="shared" si="4"/>
        <v>15.573262371636641</v>
      </c>
      <c r="Q26" s="8"/>
      <c r="R26" s="9">
        <f t="shared" si="5"/>
        <v>13.322867781544266</v>
      </c>
      <c r="S26" s="8">
        <f t="shared" si="6"/>
        <v>3.9189935377017178</v>
      </c>
    </row>
    <row r="27" spans="1:19" ht="15">
      <c r="A27" s="24"/>
      <c r="B27" s="4" t="s">
        <v>44</v>
      </c>
      <c r="C27" s="19" t="s">
        <v>106</v>
      </c>
      <c r="D27" s="4"/>
      <c r="E27" s="4"/>
      <c r="F27" s="20">
        <f>H8*1.25</f>
        <v>0</v>
      </c>
      <c r="G27" s="4"/>
      <c r="H27" s="25"/>
      <c r="J27">
        <f t="shared" si="0"/>
        <v>2037</v>
      </c>
      <c r="K27" s="8">
        <f t="shared" si="2"/>
        <v>27.226688251208966</v>
      </c>
      <c r="L27" s="8">
        <f t="shared" si="3"/>
        <v>7.555544761641838</v>
      </c>
      <c r="N27" s="8">
        <f t="shared" si="1"/>
        <v>53.69407650214782</v>
      </c>
      <c r="O27" s="9">
        <f t="shared" si="4"/>
        <v>14.900379903126302</v>
      </c>
      <c r="Q27" s="8"/>
      <c r="R27" s="9">
        <f t="shared" si="5"/>
        <v>13.493400489148032</v>
      </c>
      <c r="S27" s="8">
        <f t="shared" si="6"/>
        <v>3.744487410362546</v>
      </c>
    </row>
    <row r="28" spans="1:19" ht="15">
      <c r="A28" s="24"/>
      <c r="B28" s="4" t="s">
        <v>23</v>
      </c>
      <c r="C28" s="19" t="s">
        <v>97</v>
      </c>
      <c r="D28" s="4"/>
      <c r="E28" s="4"/>
      <c r="F28" s="34">
        <f>150*1.25</f>
        <v>187.5</v>
      </c>
      <c r="G28" s="4"/>
      <c r="H28" s="25"/>
      <c r="J28">
        <f t="shared" si="0"/>
        <v>2038</v>
      </c>
      <c r="K28" s="8">
        <f t="shared" si="2"/>
        <v>27.501677802546176</v>
      </c>
      <c r="L28" s="8">
        <f t="shared" si="3"/>
        <v>7.199863928051339</v>
      </c>
      <c r="N28" s="8">
        <f t="shared" si="1"/>
        <v>54.45653238847832</v>
      </c>
      <c r="O28" s="9">
        <f t="shared" si="4"/>
        <v>14.256571035613861</v>
      </c>
      <c r="Q28" s="8"/>
      <c r="R28" s="9">
        <f t="shared" si="5"/>
        <v>13.666116015409125</v>
      </c>
      <c r="S28" s="8">
        <f t="shared" si="6"/>
        <v>3.577751744542628</v>
      </c>
    </row>
    <row r="29" spans="1:19" ht="15">
      <c r="A29" s="24"/>
      <c r="B29" s="45" t="s">
        <v>81</v>
      </c>
      <c r="C29" s="52" t="s">
        <v>86</v>
      </c>
      <c r="D29" s="1"/>
      <c r="E29" s="1"/>
      <c r="F29" s="18">
        <f>F$9*0.1*I29/100</f>
        <v>0</v>
      </c>
      <c r="G29" s="1"/>
      <c r="I29" s="24"/>
      <c r="J29">
        <f t="shared" si="0"/>
        <v>2039</v>
      </c>
      <c r="K29" s="8">
        <f t="shared" si="2"/>
        <v>27.779444748351892</v>
      </c>
      <c r="L29" s="8">
        <f t="shared" si="3"/>
        <v>6.860926937476092</v>
      </c>
      <c r="N29" s="8">
        <f t="shared" si="1"/>
        <v>55.229815148394714</v>
      </c>
      <c r="O29" s="9">
        <f t="shared" si="4"/>
        <v>13.640579570112811</v>
      </c>
      <c r="Q29" s="8"/>
      <c r="R29" s="9">
        <f t="shared" si="5"/>
        <v>13.841042300406361</v>
      </c>
      <c r="S29" s="8">
        <f t="shared" si="6"/>
        <v>3.418440534785636</v>
      </c>
    </row>
    <row r="30" spans="1:19" ht="15">
      <c r="A30" s="24"/>
      <c r="B30" s="2" t="s">
        <v>24</v>
      </c>
      <c r="C30" s="19" t="s">
        <v>87</v>
      </c>
      <c r="D30" s="4"/>
      <c r="E30" s="4"/>
      <c r="F30" s="20">
        <f>SUM(F26:F29)</f>
        <v>547.6042410756469</v>
      </c>
      <c r="G30" s="4"/>
      <c r="H30" s="40">
        <f>F30/F44</f>
        <v>0.4136971285261754</v>
      </c>
      <c r="J30">
        <f t="shared" si="0"/>
        <v>2040</v>
      </c>
      <c r="K30" s="8">
        <f t="shared" si="2"/>
        <v>28.060017140310247</v>
      </c>
      <c r="L30" s="8">
        <f t="shared" si="3"/>
        <v>6.537945565608115</v>
      </c>
      <c r="N30" s="8">
        <f t="shared" si="1"/>
        <v>56.014078523501915</v>
      </c>
      <c r="O30" s="9">
        <f t="shared" si="4"/>
        <v>13.051203584913598</v>
      </c>
      <c r="Q30" s="8"/>
      <c r="R30" s="9">
        <f t="shared" si="5"/>
        <v>14.01820764185156</v>
      </c>
      <c r="S30" s="8">
        <f t="shared" si="6"/>
        <v>3.2662231826706525</v>
      </c>
    </row>
    <row r="31" spans="9:19" ht="15">
      <c r="I31" s="24"/>
      <c r="J31">
        <f t="shared" si="0"/>
        <v>2041</v>
      </c>
      <c r="K31" s="8">
        <f t="shared" si="2"/>
        <v>28.34342331342738</v>
      </c>
      <c r="L31" s="8">
        <f t="shared" si="3"/>
        <v>6.2301686941705245</v>
      </c>
      <c r="N31" s="8">
        <f t="shared" si="1"/>
        <v>56.80947843853564</v>
      </c>
      <c r="O31" s="9">
        <f t="shared" si="4"/>
        <v>12.487293090395632</v>
      </c>
      <c r="Q31" s="8"/>
      <c r="R31" s="9">
        <f t="shared" si="5"/>
        <v>14.197640699667259</v>
      </c>
      <c r="S31" s="8">
        <f t="shared" si="6"/>
        <v>3.1207838107630534</v>
      </c>
    </row>
    <row r="32" spans="1:19" ht="15">
      <c r="A32" s="27" t="s">
        <v>38</v>
      </c>
      <c r="B32" s="41"/>
      <c r="C32" s="4"/>
      <c r="D32" s="4"/>
      <c r="E32" s="4"/>
      <c r="F32" s="4"/>
      <c r="G32" s="4"/>
      <c r="H32" s="25"/>
      <c r="J32">
        <f t="shared" si="0"/>
        <v>2042</v>
      </c>
      <c r="K32" s="8">
        <f t="shared" si="2"/>
        <v>28.629691888892996</v>
      </c>
      <c r="L32" s="8">
        <f t="shared" si="3"/>
        <v>5.936880564133628</v>
      </c>
      <c r="N32" s="8">
        <f t="shared" si="1"/>
        <v>57.616173032362845</v>
      </c>
      <c r="O32" s="9">
        <f t="shared" si="4"/>
        <v>11.947747785169101</v>
      </c>
      <c r="Q32" s="8"/>
      <c r="R32" s="9">
        <f t="shared" si="5"/>
        <v>14.379370500622999</v>
      </c>
      <c r="S32" s="8">
        <f t="shared" si="6"/>
        <v>2.981820607113981</v>
      </c>
    </row>
    <row r="33" spans="1:19" ht="15">
      <c r="A33" s="24"/>
      <c r="B33" s="4" t="s">
        <v>47</v>
      </c>
      <c r="C33" s="19">
        <v>17</v>
      </c>
      <c r="D33" s="4">
        <f>D18-D24</f>
        <v>3120</v>
      </c>
      <c r="E33" s="4">
        <f>E18-E24</f>
        <v>3430</v>
      </c>
      <c r="F33" s="4">
        <f>F18-F24</f>
        <v>3180</v>
      </c>
      <c r="G33" s="5">
        <f>G18-G24</f>
        <v>3542.381091705955</v>
      </c>
      <c r="H33" s="25"/>
      <c r="J33">
        <f t="shared" si="0"/>
        <v>2043</v>
      </c>
      <c r="K33" s="8">
        <f t="shared" si="2"/>
        <v>28.918851776970815</v>
      </c>
      <c r="L33" s="8">
        <f t="shared" si="3"/>
        <v>5.657399111161677</v>
      </c>
      <c r="N33" s="8">
        <f t="shared" si="1"/>
        <v>58.434322689422395</v>
      </c>
      <c r="O33" s="9">
        <f t="shared" si="4"/>
        <v>11.431514909168397</v>
      </c>
      <c r="Q33" s="8"/>
      <c r="R33" s="9">
        <f t="shared" si="5"/>
        <v>14.563426443030972</v>
      </c>
      <c r="S33" s="8">
        <f t="shared" si="6"/>
        <v>2.8490451989481502</v>
      </c>
    </row>
    <row r="34" spans="1:19" ht="15">
      <c r="A34" s="24"/>
      <c r="B34" s="4" t="s">
        <v>21</v>
      </c>
      <c r="C34" s="37" t="s">
        <v>88</v>
      </c>
      <c r="D34" s="4"/>
      <c r="E34" s="4"/>
      <c r="F34" s="36">
        <f>F33*F21/1000</f>
        <v>138.81479943304078</v>
      </c>
      <c r="G34" s="36">
        <f>G33*G21/1000</f>
        <v>219.70692178710627</v>
      </c>
      <c r="H34" s="25"/>
      <c r="J34">
        <f t="shared" si="0"/>
        <v>2044</v>
      </c>
      <c r="K34" s="8">
        <f t="shared" si="2"/>
        <v>29.21093217991822</v>
      </c>
      <c r="L34" s="8">
        <f t="shared" si="3"/>
        <v>5.391074379419254</v>
      </c>
      <c r="N34" s="8">
        <f t="shared" si="1"/>
        <v>59.264090071612195</v>
      </c>
      <c r="O34" s="9">
        <f t="shared" si="4"/>
        <v>10.937587189508102</v>
      </c>
      <c r="Q34" s="8"/>
      <c r="R34" s="9">
        <f t="shared" si="5"/>
        <v>14.749838301501766</v>
      </c>
      <c r="S34" s="8">
        <f t="shared" si="6"/>
        <v>2.7221820542402697</v>
      </c>
    </row>
    <row r="35" spans="1:19" ht="15">
      <c r="A35" s="24"/>
      <c r="B35" s="1" t="s">
        <v>32</v>
      </c>
      <c r="C35" s="14">
        <v>19</v>
      </c>
      <c r="D35" s="1"/>
      <c r="E35" s="1"/>
      <c r="F35" s="10">
        <f>Base!F30</f>
        <v>99.44102575899059</v>
      </c>
      <c r="G35" s="10">
        <f>Base!G30</f>
        <v>155.20111574117826</v>
      </c>
      <c r="H35" s="25"/>
      <c r="J35">
        <f t="shared" si="0"/>
        <v>2045</v>
      </c>
      <c r="K35" s="8">
        <f t="shared" si="2"/>
        <v>29.505962594935394</v>
      </c>
      <c r="L35" s="8">
        <f t="shared" si="3"/>
        <v>5.13728701004848</v>
      </c>
      <c r="N35" s="8">
        <f t="shared" si="1"/>
        <v>60.105640150629085</v>
      </c>
      <c r="O35" s="9">
        <f t="shared" si="4"/>
        <v>10.465000875093505</v>
      </c>
      <c r="Q35" s="8"/>
      <c r="R35" s="9">
        <f t="shared" si="5"/>
        <v>14.938636231760988</v>
      </c>
      <c r="S35" s="8">
        <f t="shared" si="6"/>
        <v>2.60096790993825</v>
      </c>
    </row>
    <row r="36" spans="1:19" ht="15">
      <c r="A36" s="24"/>
      <c r="B36" s="4" t="s">
        <v>33</v>
      </c>
      <c r="C36" s="19" t="s">
        <v>89</v>
      </c>
      <c r="D36" s="4"/>
      <c r="E36" s="4"/>
      <c r="F36" s="36">
        <f>F34-F35</f>
        <v>39.373773674050184</v>
      </c>
      <c r="G36" s="39">
        <f>G34-G35</f>
        <v>64.50580604592801</v>
      </c>
      <c r="H36" s="25"/>
      <c r="J36">
        <f t="shared" si="0"/>
        <v>2046</v>
      </c>
      <c r="K36" s="8">
        <f t="shared" si="2"/>
        <v>29.803972817144242</v>
      </c>
      <c r="L36" s="8">
        <f t="shared" si="3"/>
        <v>4.895446800801857</v>
      </c>
      <c r="N36" s="8">
        <f t="shared" si="1"/>
        <v>60.959140240768015</v>
      </c>
      <c r="O36" s="9">
        <f t="shared" si="4"/>
        <v>10.012833856150783</v>
      </c>
      <c r="Q36" s="8"/>
      <c r="R36" s="9">
        <f t="shared" si="5"/>
        <v>15.129850775527528</v>
      </c>
      <c r="S36" s="8">
        <f t="shared" si="6"/>
        <v>2.4851512256466592</v>
      </c>
    </row>
    <row r="37" spans="1:19" ht="15">
      <c r="A37" s="24"/>
      <c r="B37" s="4" t="s">
        <v>34</v>
      </c>
      <c r="C37" s="19" t="s">
        <v>90</v>
      </c>
      <c r="D37" s="4"/>
      <c r="E37" s="4"/>
      <c r="F37" s="20">
        <f>O41</f>
        <v>686.0796893072516</v>
      </c>
      <c r="G37" s="4"/>
      <c r="H37" s="40"/>
      <c r="J37">
        <f t="shared" si="0"/>
        <v>2047</v>
      </c>
      <c r="K37" s="8">
        <f t="shared" si="2"/>
        <v>30.1049929425974</v>
      </c>
      <c r="L37" s="8">
        <f t="shared" si="3"/>
        <v>4.664991333481091</v>
      </c>
      <c r="N37" s="8">
        <f t="shared" si="1"/>
        <v>61.82476003218692</v>
      </c>
      <c r="O37" s="9">
        <f t="shared" si="4"/>
        <v>9.580203865007666</v>
      </c>
      <c r="Q37" s="8"/>
      <c r="R37" s="9">
        <f t="shared" si="5"/>
        <v>15.32351286545428</v>
      </c>
      <c r="S37" s="8">
        <f t="shared" si="6"/>
        <v>2.374491661636733</v>
      </c>
    </row>
    <row r="38" spans="1:19" ht="15">
      <c r="A38" s="24"/>
      <c r="B38" s="45" t="s">
        <v>81</v>
      </c>
      <c r="C38" s="50" t="s">
        <v>92</v>
      </c>
      <c r="D38" s="1"/>
      <c r="E38" s="1"/>
      <c r="F38" s="18">
        <f>F$9*0.1</f>
        <v>90</v>
      </c>
      <c r="G38" s="1"/>
      <c r="H38" s="25"/>
      <c r="J38">
        <f t="shared" si="0"/>
        <v>2048</v>
      </c>
      <c r="K38" s="8">
        <f t="shared" si="2"/>
        <v>30.409053371317633</v>
      </c>
      <c r="L38" s="8">
        <f t="shared" si="3"/>
        <v>4.445384665989859</v>
      </c>
      <c r="N38" s="8">
        <f t="shared" si="1"/>
        <v>62.702671624643976</v>
      </c>
      <c r="O38" s="9">
        <f t="shared" si="4"/>
        <v>9.16626675461394</v>
      </c>
      <c r="Q38" s="8"/>
      <c r="R38" s="9">
        <f t="shared" si="5"/>
        <v>15.519653830132093</v>
      </c>
      <c r="S38" s="8">
        <f t="shared" si="6"/>
        <v>2.268759580099701</v>
      </c>
    </row>
    <row r="39" spans="1:19" ht="15">
      <c r="A39" s="24"/>
      <c r="B39" s="2" t="s">
        <v>82</v>
      </c>
      <c r="C39" s="13" t="s">
        <v>91</v>
      </c>
      <c r="F39" s="53">
        <f>SUM(F37:F38)</f>
        <v>776.0796893072516</v>
      </c>
      <c r="H39" s="55">
        <f>F39/F44</f>
        <v>0.5863028714738246</v>
      </c>
      <c r="J39">
        <f t="shared" si="0"/>
        <v>2049</v>
      </c>
      <c r="K39" s="8">
        <f t="shared" si="2"/>
        <v>30.716184810367942</v>
      </c>
      <c r="L39" s="8">
        <f t="shared" si="3"/>
        <v>4.236116085958826</v>
      </c>
      <c r="N39" s="8">
        <f t="shared" si="1"/>
        <v>63.59304956171392</v>
      </c>
      <c r="O39" s="9">
        <f t="shared" si="4"/>
        <v>8.770214851442883</v>
      </c>
      <c r="Q39" s="8"/>
      <c r="R39" s="9">
        <f t="shared" si="5"/>
        <v>15.718305399157781</v>
      </c>
      <c r="S39" s="8">
        <f t="shared" si="6"/>
        <v>2.1677355686084683</v>
      </c>
    </row>
    <row r="40" spans="1:19" ht="15">
      <c r="A40" s="24"/>
      <c r="H40" s="25"/>
      <c r="J40">
        <f t="shared" si="0"/>
        <v>2050</v>
      </c>
      <c r="K40" s="7">
        <f t="shared" si="2"/>
        <v>31.026418276952658</v>
      </c>
      <c r="L40" s="8">
        <f t="shared" si="3"/>
        <v>4.036698923044349</v>
      </c>
      <c r="N40" s="8">
        <f t="shared" si="1"/>
        <v>64.49607086549025</v>
      </c>
      <c r="O40" s="9">
        <f t="shared" si="4"/>
        <v>8.391275379559783</v>
      </c>
      <c r="Q40" s="8"/>
      <c r="R40" s="9">
        <f t="shared" si="5"/>
        <v>15.919499708267</v>
      </c>
      <c r="S40" s="8">
        <f t="shared" si="6"/>
        <v>2.0712099847987324</v>
      </c>
    </row>
    <row r="41" spans="1:19" ht="15">
      <c r="A41" s="24"/>
      <c r="B41" s="4" t="s">
        <v>61</v>
      </c>
      <c r="C41" s="19">
        <v>24</v>
      </c>
      <c r="D41" s="4"/>
      <c r="E41" s="4"/>
      <c r="F41" s="4">
        <v>1313</v>
      </c>
      <c r="G41" s="4"/>
      <c r="H41" s="25"/>
      <c r="J41">
        <f t="shared" si="0"/>
        <v>2051</v>
      </c>
      <c r="K41" s="8" t="s">
        <v>29</v>
      </c>
      <c r="L41" s="8">
        <f>SUM(L6:L40)</f>
        <v>360.1042410756469</v>
      </c>
      <c r="O41" s="8">
        <f>SUM(O6:O40)</f>
        <v>686.0796893072516</v>
      </c>
      <c r="Q41" s="8"/>
      <c r="R41" s="9">
        <f t="shared" si="5"/>
        <v>16.123269304532815</v>
      </c>
      <c r="S41" s="8">
        <f t="shared" si="6"/>
        <v>1.9789825213246752</v>
      </c>
    </row>
    <row r="42" spans="1:19" ht="15">
      <c r="A42" s="24"/>
      <c r="B42" s="4" t="s">
        <v>63</v>
      </c>
      <c r="C42" s="19" t="s">
        <v>94</v>
      </c>
      <c r="D42" s="4"/>
      <c r="E42" s="4"/>
      <c r="F42" s="5">
        <f>F30-F29+F37</f>
        <v>1233.6839303828983</v>
      </c>
      <c r="G42" s="44">
        <f>F42/F41</f>
        <v>0.939591721540669</v>
      </c>
      <c r="H42" s="25"/>
      <c r="J42">
        <f t="shared" si="0"/>
        <v>2052</v>
      </c>
      <c r="N42" s="17">
        <v>0.0142</v>
      </c>
      <c r="Q42" s="43"/>
      <c r="R42" s="9">
        <f t="shared" si="5"/>
        <v>16.329647151630834</v>
      </c>
      <c r="S42" s="8">
        <f t="shared" si="6"/>
        <v>1.8908617901864442</v>
      </c>
    </row>
    <row r="43" spans="1:19" ht="15">
      <c r="A43" s="24"/>
      <c r="B43" s="45" t="s">
        <v>83</v>
      </c>
      <c r="C43" s="14" t="s">
        <v>96</v>
      </c>
      <c r="D43" s="1"/>
      <c r="E43" s="1"/>
      <c r="F43" s="1">
        <f>0.1*F9</f>
        <v>90</v>
      </c>
      <c r="G43" s="1"/>
      <c r="H43" s="25"/>
      <c r="J43">
        <f t="shared" si="0"/>
        <v>2053</v>
      </c>
      <c r="R43" s="9">
        <f t="shared" si="5"/>
        <v>16.538666635171708</v>
      </c>
      <c r="S43" s="8">
        <f t="shared" si="6"/>
        <v>1.806664925566821</v>
      </c>
    </row>
    <row r="44" spans="1:19" ht="15">
      <c r="A44" s="28"/>
      <c r="B44" s="45" t="s">
        <v>93</v>
      </c>
      <c r="C44" s="52" t="s">
        <v>95</v>
      </c>
      <c r="D44" s="1"/>
      <c r="E44" s="1"/>
      <c r="F44" s="6">
        <f>SUM(F42:F43)</f>
        <v>1323.6839303828983</v>
      </c>
      <c r="G44" s="46">
        <f>F44/F41</f>
        <v>1.0081370376107375</v>
      </c>
      <c r="H44" s="29"/>
      <c r="J44">
        <f t="shared" si="0"/>
        <v>2054</v>
      </c>
      <c r="R44" s="9">
        <f t="shared" si="5"/>
        <v>16.750361568101905</v>
      </c>
      <c r="S44" s="8">
        <f t="shared" si="6"/>
        <v>1.7262172043529018</v>
      </c>
    </row>
    <row r="45" spans="10:19" ht="15">
      <c r="J45">
        <f t="shared" si="0"/>
        <v>2055</v>
      </c>
      <c r="R45" s="9">
        <f t="shared" si="5"/>
        <v>16.964766196173606</v>
      </c>
      <c r="S45" s="8">
        <f t="shared" si="6"/>
        <v>1.6493516835553008</v>
      </c>
    </row>
    <row r="46" spans="1:19" ht="15">
      <c r="A46" s="3"/>
      <c r="J46">
        <f t="shared" si="0"/>
        <v>2056</v>
      </c>
      <c r="R46" s="9">
        <f t="shared" si="5"/>
        <v>17.18191520348463</v>
      </c>
      <c r="S46" s="8">
        <f t="shared" si="6"/>
        <v>1.575908853872461</v>
      </c>
    </row>
    <row r="47" spans="1:19" ht="15">
      <c r="A47" s="3"/>
      <c r="B47" s="16"/>
      <c r="J47">
        <f t="shared" si="0"/>
        <v>2057</v>
      </c>
      <c r="R47" s="9">
        <f t="shared" si="5"/>
        <v>17.40184371808923</v>
      </c>
      <c r="S47" s="8">
        <f t="shared" si="6"/>
        <v>1.5057363086811586</v>
      </c>
    </row>
    <row r="48" spans="1:19" ht="15">
      <c r="A48" s="3"/>
      <c r="J48">
        <f t="shared" si="0"/>
        <v>2058</v>
      </c>
      <c r="R48" s="9">
        <f t="shared" si="5"/>
        <v>17.62458731768077</v>
      </c>
      <c r="S48" s="8">
        <f t="shared" si="6"/>
        <v>1.4386884277662992</v>
      </c>
    </row>
    <row r="49" spans="10:19" ht="15">
      <c r="J49">
        <f t="shared" si="0"/>
        <v>2059</v>
      </c>
      <c r="R49" s="9">
        <f t="shared" si="5"/>
        <v>17.850182035347082</v>
      </c>
      <c r="S49" s="8">
        <f t="shared" si="6"/>
        <v>1.3746260751336863</v>
      </c>
    </row>
    <row r="50" spans="10:19" ht="15">
      <c r="J50">
        <f t="shared" si="0"/>
        <v>2060</v>
      </c>
      <c r="R50" s="9">
        <f t="shared" si="5"/>
        <v>18.078664365399522</v>
      </c>
      <c r="S50" s="8">
        <f t="shared" si="6"/>
        <v>1.3134163102786767</v>
      </c>
    </row>
    <row r="51" spans="19:20" ht="15">
      <c r="S51" s="8">
        <f>SUM(S6:S50)</f>
        <v>190.68499917266374</v>
      </c>
      <c r="T51" s="8">
        <f>SUM(S41:S50)</f>
        <v>16.260454100718427</v>
      </c>
    </row>
  </sheetData>
  <sheetProtection/>
  <printOptions/>
  <pageMargins left="0.86" right="0.3937007874015748" top="0.46" bottom="0.43" header="0.31496062992125984" footer="0.31496062992125984"/>
  <pageSetup fitToHeight="1" fitToWidth="1" horizontalDpi="600" verticalDpi="600" orientation="portrait" scale="1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5"/>
  <sheetViews>
    <sheetView zoomScalePageLayoutView="0" workbookViewId="0" topLeftCell="A10">
      <selection activeCell="P4" sqref="P4"/>
    </sheetView>
  </sheetViews>
  <sheetFormatPr defaultColWidth="9.140625" defaultRowHeight="15"/>
  <cols>
    <col min="1" max="1" width="3.57421875" style="0" customWidth="1"/>
    <col min="2" max="2" width="29.00390625" style="0" customWidth="1"/>
    <col min="3" max="3" width="11.8515625" style="0" customWidth="1"/>
  </cols>
  <sheetData>
    <row r="1" spans="1:8" ht="18.75">
      <c r="A1" s="21"/>
      <c r="B1" s="22"/>
      <c r="C1" s="30" t="s">
        <v>45</v>
      </c>
      <c r="D1" s="22"/>
      <c r="E1" s="22"/>
      <c r="F1" s="22"/>
      <c r="G1" s="22"/>
      <c r="H1" s="23"/>
    </row>
    <row r="2" spans="1:10" ht="18.75">
      <c r="A2" s="24"/>
      <c r="B2" s="31" t="s">
        <v>123</v>
      </c>
      <c r="C2" s="4"/>
      <c r="D2" s="4"/>
      <c r="E2" s="4"/>
      <c r="F2" s="4"/>
      <c r="G2" s="4"/>
      <c r="H2" s="25"/>
      <c r="J2" s="12">
        <f>'HQ500'!J2</f>
        <v>0.0128</v>
      </c>
    </row>
    <row r="3" spans="1:14" ht="15">
      <c r="A3" s="24"/>
      <c r="B3" s="4"/>
      <c r="C3" s="4"/>
      <c r="D3" s="4"/>
      <c r="E3" s="4"/>
      <c r="F3" s="4"/>
      <c r="G3" s="4"/>
      <c r="H3" s="25"/>
      <c r="K3" t="s">
        <v>35</v>
      </c>
      <c r="N3" t="s">
        <v>36</v>
      </c>
    </row>
    <row r="4" spans="1:12" ht="15">
      <c r="A4" s="24"/>
      <c r="B4" s="4"/>
      <c r="C4" s="4"/>
      <c r="D4" s="4" t="s">
        <v>0</v>
      </c>
      <c r="E4" s="4" t="s">
        <v>1</v>
      </c>
      <c r="F4" s="4" t="s">
        <v>6</v>
      </c>
      <c r="G4" s="4" t="s">
        <v>7</v>
      </c>
      <c r="H4" s="25"/>
      <c r="K4" s="11" t="s">
        <v>28</v>
      </c>
      <c r="L4" s="11">
        <v>2015</v>
      </c>
    </row>
    <row r="5" spans="1:14" ht="15">
      <c r="A5" s="27" t="s">
        <v>14</v>
      </c>
      <c r="B5" s="4"/>
      <c r="C5" s="4"/>
      <c r="D5" s="4"/>
      <c r="E5" s="4"/>
      <c r="F5" s="4"/>
      <c r="G5" s="4"/>
      <c r="H5" s="25"/>
      <c r="J5">
        <v>2015</v>
      </c>
      <c r="K5" s="8">
        <f>F25</f>
        <v>19.128400238993287</v>
      </c>
      <c r="L5" s="8"/>
      <c r="N5" s="8">
        <f>F36</f>
        <v>22.215599761006715</v>
      </c>
    </row>
    <row r="6" spans="1:15" ht="15">
      <c r="A6" s="24"/>
      <c r="B6" s="4" t="s">
        <v>15</v>
      </c>
      <c r="C6" s="4"/>
      <c r="D6" s="32" t="s">
        <v>16</v>
      </c>
      <c r="E6" s="32" t="s">
        <v>18</v>
      </c>
      <c r="F6" s="32" t="s">
        <v>17</v>
      </c>
      <c r="G6" s="4"/>
      <c r="H6" s="33" t="s">
        <v>40</v>
      </c>
      <c r="J6">
        <f aca="true" t="shared" si="0" ref="J6:J40">J5+1</f>
        <v>2016</v>
      </c>
      <c r="K6" s="8">
        <f>K5*(1+$I$26)</f>
        <v>19.32131015540353</v>
      </c>
      <c r="L6" s="8">
        <f>K6/(1.06^(J6-J$5))</f>
        <v>18.22765109000333</v>
      </c>
      <c r="N6" s="8">
        <f aca="true" t="shared" si="1" ref="N6:N40">N5*(1+$N$42)</f>
        <v>22.547500821436152</v>
      </c>
      <c r="O6" s="9">
        <f>N6/(1.06^(J6-J$5))</f>
        <v>21.271227190034104</v>
      </c>
    </row>
    <row r="7" spans="1:15" ht="15">
      <c r="A7" s="24"/>
      <c r="B7" s="4" t="s">
        <v>41</v>
      </c>
      <c r="C7" s="19">
        <v>1</v>
      </c>
      <c r="D7" s="4"/>
      <c r="E7" s="4">
        <v>75</v>
      </c>
      <c r="F7" s="34">
        <f>450+600</f>
        <v>1050</v>
      </c>
      <c r="G7" s="4"/>
      <c r="H7" s="25"/>
      <c r="J7">
        <f t="shared" si="0"/>
        <v>2017</v>
      </c>
      <c r="K7" s="8">
        <f>K6*(1+I$26)</f>
        <v>19.516165568320773</v>
      </c>
      <c r="L7" s="8">
        <f aca="true" t="shared" si="2" ref="L7:L40">K7/(1.06^(J7-J$5))</f>
        <v>17.36931787853397</v>
      </c>
      <c r="N7" s="8">
        <f t="shared" si="1"/>
        <v>22.884360483708406</v>
      </c>
      <c r="O7" s="9">
        <f aca="true" t="shared" si="3" ref="O7:O40">N7/(1.06^(J7-J$5))</f>
        <v>20.36699936250303</v>
      </c>
    </row>
    <row r="8" spans="1:15" ht="15">
      <c r="A8" s="24"/>
      <c r="B8" s="1" t="s">
        <v>42</v>
      </c>
      <c r="C8" s="14">
        <v>2</v>
      </c>
      <c r="D8" s="1"/>
      <c r="E8" s="1"/>
      <c r="F8" s="1">
        <v>150</v>
      </c>
      <c r="G8" s="1"/>
      <c r="H8" s="59">
        <v>292</v>
      </c>
      <c r="J8">
        <f t="shared" si="0"/>
        <v>2018</v>
      </c>
      <c r="K8" s="8">
        <f aca="true" t="shared" si="4" ref="K8:K40">K7*(1+I$26)</f>
        <v>19.712986098077284</v>
      </c>
      <c r="L8" s="8">
        <f t="shared" si="2"/>
        <v>16.55140325409338</v>
      </c>
      <c r="N8" s="8">
        <f t="shared" si="1"/>
        <v>23.226252829335007</v>
      </c>
      <c r="O8" s="9">
        <f t="shared" si="3"/>
        <v>19.501209748093224</v>
      </c>
    </row>
    <row r="9" spans="1:15" ht="15">
      <c r="A9" s="24"/>
      <c r="B9" s="2" t="s">
        <v>43</v>
      </c>
      <c r="C9" s="19" t="s">
        <v>84</v>
      </c>
      <c r="D9" s="4"/>
      <c r="E9" s="4">
        <f>E7</f>
        <v>75</v>
      </c>
      <c r="F9" s="34">
        <f>F7-F8-H8</f>
        <v>608</v>
      </c>
      <c r="G9" s="4"/>
      <c r="H9" s="25"/>
      <c r="J9">
        <f t="shared" si="0"/>
        <v>2019</v>
      </c>
      <c r="K9" s="8">
        <f t="shared" si="4"/>
        <v>19.91179156287639</v>
      </c>
      <c r="L9" s="8">
        <f t="shared" si="2"/>
        <v>15.772003920670668</v>
      </c>
      <c r="N9" s="8">
        <f t="shared" si="1"/>
        <v>23.57325304660527</v>
      </c>
      <c r="O9" s="9">
        <f t="shared" si="3"/>
        <v>18.672224360122392</v>
      </c>
    </row>
    <row r="10" spans="1:15" ht="15">
      <c r="A10" s="24"/>
      <c r="B10" s="4"/>
      <c r="C10" s="4"/>
      <c r="D10" s="4"/>
      <c r="E10" s="4"/>
      <c r="F10" s="4"/>
      <c r="G10" s="4"/>
      <c r="H10" s="25"/>
      <c r="J10">
        <f t="shared" si="0"/>
        <v>2020</v>
      </c>
      <c r="K10" s="8">
        <f t="shared" si="4"/>
        <v>20.112601980788</v>
      </c>
      <c r="L10" s="8">
        <f t="shared" si="2"/>
        <v>15.029306207745877</v>
      </c>
      <c r="N10" s="8">
        <f t="shared" si="1"/>
        <v>23.925437447121553</v>
      </c>
      <c r="O10" s="9">
        <f t="shared" si="3"/>
        <v>17.87847867175719</v>
      </c>
    </row>
    <row r="11" spans="1:15" ht="15">
      <c r="A11" s="27" t="s">
        <v>8</v>
      </c>
      <c r="B11" s="4"/>
      <c r="C11" s="4"/>
      <c r="D11" s="4"/>
      <c r="E11" s="4"/>
      <c r="F11" s="4"/>
      <c r="G11" s="4"/>
      <c r="H11" s="25"/>
      <c r="J11">
        <f t="shared" si="0"/>
        <v>2021</v>
      </c>
      <c r="K11" s="8">
        <f t="shared" si="4"/>
        <v>20.315437571764246</v>
      </c>
      <c r="L11" s="8">
        <f t="shared" si="2"/>
        <v>14.321581849859427</v>
      </c>
      <c r="N11" s="8">
        <f t="shared" si="1"/>
        <v>24.282883482581546</v>
      </c>
      <c r="O11" s="9">
        <f t="shared" si="3"/>
        <v>17.118474663314377</v>
      </c>
    </row>
    <row r="12" spans="1:15" ht="15">
      <c r="A12" s="24"/>
      <c r="B12" s="4" t="s">
        <v>75</v>
      </c>
      <c r="C12" s="19" t="s">
        <v>85</v>
      </c>
      <c r="D12" s="36">
        <v>80.5</v>
      </c>
      <c r="E12" s="36">
        <f>D12*1.013^5+E$9*0.068</f>
        <v>90.97032511069155</v>
      </c>
      <c r="F12" s="36">
        <f>E12*(1+J2)^7+F$9*0.068</f>
        <v>140.7850257589906</v>
      </c>
      <c r="G12" s="36">
        <f>F12*(1+J2)^35+G$9*0.068</f>
        <v>219.72815455868704</v>
      </c>
      <c r="H12" s="25"/>
      <c r="J12">
        <f t="shared" si="0"/>
        <v>2022</v>
      </c>
      <c r="K12" s="8">
        <f t="shared" si="4"/>
        <v>20.520318759675487</v>
      </c>
      <c r="L12" s="8">
        <f t="shared" si="2"/>
        <v>13.647183964920053</v>
      </c>
      <c r="N12" s="8">
        <f t="shared" si="1"/>
        <v>24.645669761811313</v>
      </c>
      <c r="O12" s="9">
        <f t="shared" si="3"/>
        <v>16.390777995079517</v>
      </c>
    </row>
    <row r="13" spans="1:15" ht="15">
      <c r="A13" s="24"/>
      <c r="B13" s="47"/>
      <c r="C13" s="4"/>
      <c r="D13" s="4"/>
      <c r="E13" s="4"/>
      <c r="F13" s="4"/>
      <c r="G13" s="4"/>
      <c r="H13" s="25"/>
      <c r="J13">
        <f t="shared" si="0"/>
        <v>2023</v>
      </c>
      <c r="K13" s="8">
        <f t="shared" si="4"/>
        <v>20.72726617436681</v>
      </c>
      <c r="L13" s="8">
        <f t="shared" si="2"/>
        <v>13.004543221892709</v>
      </c>
      <c r="N13" s="8">
        <f t="shared" si="1"/>
        <v>25.013876068052774</v>
      </c>
      <c r="O13" s="9">
        <f t="shared" si="3"/>
        <v>15.694015300307553</v>
      </c>
    </row>
    <row r="14" spans="1:15" ht="15">
      <c r="A14" s="27" t="s">
        <v>9</v>
      </c>
      <c r="B14" s="4"/>
      <c r="C14" s="37"/>
      <c r="D14" s="4"/>
      <c r="E14" s="4"/>
      <c r="F14" s="4"/>
      <c r="G14" s="4"/>
      <c r="H14" s="25"/>
      <c r="J14">
        <f t="shared" si="0"/>
        <v>2024</v>
      </c>
      <c r="K14" s="8">
        <f t="shared" si="4"/>
        <v>20.936300653735298</v>
      </c>
      <c r="L14" s="8">
        <f t="shared" si="2"/>
        <v>12.39216418894858</v>
      </c>
      <c r="N14" s="8">
        <f t="shared" si="1"/>
        <v>25.387583376509482</v>
      </c>
      <c r="O14" s="9">
        <f t="shared" si="3"/>
        <v>15.026871593296367</v>
      </c>
    </row>
    <row r="15" spans="1:15" ht="15">
      <c r="A15" s="24"/>
      <c r="B15" s="4" t="s">
        <v>5</v>
      </c>
      <c r="C15" s="19">
        <v>5</v>
      </c>
      <c r="D15" s="4">
        <v>2100</v>
      </c>
      <c r="E15" s="4">
        <v>2100</v>
      </c>
      <c r="F15" s="4">
        <v>1900</v>
      </c>
      <c r="G15" s="5">
        <f>F15*1.005^35</f>
        <v>2262.381091705955</v>
      </c>
      <c r="H15" s="25"/>
      <c r="J15">
        <f t="shared" si="0"/>
        <v>2025</v>
      </c>
      <c r="K15" s="8">
        <f t="shared" si="4"/>
        <v>21.147443245828217</v>
      </c>
      <c r="L15" s="8">
        <f t="shared" si="2"/>
        <v>11.808621853579364</v>
      </c>
      <c r="N15" s="8">
        <f t="shared" si="1"/>
        <v>25.766873872154534</v>
      </c>
      <c r="O15" s="9">
        <f t="shared" si="3"/>
        <v>14.38808778764171</v>
      </c>
    </row>
    <row r="16" spans="1:15" ht="15">
      <c r="A16" s="24"/>
      <c r="B16" s="4" t="s">
        <v>2</v>
      </c>
      <c r="C16" s="19">
        <v>6</v>
      </c>
      <c r="D16" s="4">
        <v>720</v>
      </c>
      <c r="E16" s="4">
        <v>1080</v>
      </c>
      <c r="F16" s="4">
        <v>1580</v>
      </c>
      <c r="G16" s="4">
        <v>1580</v>
      </c>
      <c r="H16" s="25"/>
      <c r="J16">
        <f t="shared" si="0"/>
        <v>2026</v>
      </c>
      <c r="K16" s="8">
        <f t="shared" si="4"/>
        <v>21.360715210962393</v>
      </c>
      <c r="L16" s="8">
        <f t="shared" si="2"/>
        <v>11.252558306578027</v>
      </c>
      <c r="N16" s="8">
        <f t="shared" si="1"/>
        <v>26.15183096780452</v>
      </c>
      <c r="O16" s="9">
        <f t="shared" si="3"/>
        <v>13.776458319989693</v>
      </c>
    </row>
    <row r="17" spans="1:15" ht="15">
      <c r="A17" s="24"/>
      <c r="B17" s="1" t="s">
        <v>3</v>
      </c>
      <c r="C17" s="14">
        <v>7</v>
      </c>
      <c r="D17" s="1">
        <v>300</v>
      </c>
      <c r="E17" s="1">
        <v>250</v>
      </c>
      <c r="F17" s="1">
        <v>200</v>
      </c>
      <c r="G17" s="1">
        <v>200</v>
      </c>
      <c r="H17" s="25"/>
      <c r="J17">
        <f t="shared" si="0"/>
        <v>2027</v>
      </c>
      <c r="K17" s="8">
        <f t="shared" si="4"/>
        <v>21.576138023864946</v>
      </c>
      <c r="L17" s="8">
        <f t="shared" si="2"/>
        <v>10.722679582169683</v>
      </c>
      <c r="N17" s="8">
        <f t="shared" si="1"/>
        <v>26.54253932246352</v>
      </c>
      <c r="O17" s="9">
        <f t="shared" si="3"/>
        <v>13.190828874802206</v>
      </c>
    </row>
    <row r="18" spans="1:15" ht="15">
      <c r="A18" s="24"/>
      <c r="B18" s="2" t="s">
        <v>4</v>
      </c>
      <c r="C18" s="15" t="s">
        <v>12</v>
      </c>
      <c r="D18" s="4">
        <f>SUM(D15:D17)</f>
        <v>3120</v>
      </c>
      <c r="E18" s="4">
        <f>SUM(E15:E17)</f>
        <v>3430</v>
      </c>
      <c r="F18" s="4">
        <f>SUM(F15:F17)</f>
        <v>3680</v>
      </c>
      <c r="G18" s="5">
        <f>SUM(G15:G17)</f>
        <v>4042.381091705955</v>
      </c>
      <c r="H18" s="25"/>
      <c r="J18">
        <f t="shared" si="0"/>
        <v>2028</v>
      </c>
      <c r="K18" s="8">
        <f t="shared" si="4"/>
        <v>21.79373337583562</v>
      </c>
      <c r="L18" s="8">
        <f t="shared" si="2"/>
        <v>10.217752646939493</v>
      </c>
      <c r="N18" s="8">
        <f t="shared" si="1"/>
        <v>26.939084859941122</v>
      </c>
      <c r="O18" s="9">
        <f t="shared" si="3"/>
        <v>12.63009420584127</v>
      </c>
    </row>
    <row r="19" spans="1:15" ht="15">
      <c r="A19" s="24"/>
      <c r="B19" s="4"/>
      <c r="C19" s="4"/>
      <c r="D19" s="4"/>
      <c r="E19" s="4"/>
      <c r="F19" s="4"/>
      <c r="G19" s="4"/>
      <c r="H19" s="25"/>
      <c r="J19">
        <f t="shared" si="0"/>
        <v>2029</v>
      </c>
      <c r="K19" s="8">
        <f t="shared" si="4"/>
        <v>22.01352317693092</v>
      </c>
      <c r="L19" s="8">
        <f t="shared" si="2"/>
        <v>9.736602530550828</v>
      </c>
      <c r="N19" s="8">
        <f t="shared" si="1"/>
        <v>27.341554787748642</v>
      </c>
      <c r="O19" s="9">
        <f t="shared" si="3"/>
        <v>12.093196050260888</v>
      </c>
    </row>
    <row r="20" spans="1:15" ht="15">
      <c r="A20" s="27" t="s">
        <v>77</v>
      </c>
      <c r="B20" s="4"/>
      <c r="C20" s="4"/>
      <c r="D20" s="4"/>
      <c r="E20" s="4"/>
      <c r="F20" s="4"/>
      <c r="G20" s="4"/>
      <c r="H20" s="25"/>
      <c r="J20">
        <f t="shared" si="0"/>
        <v>2030</v>
      </c>
      <c r="K20" s="8">
        <f t="shared" si="4"/>
        <v>22.235529558170267</v>
      </c>
      <c r="L20" s="8">
        <f t="shared" si="2"/>
        <v>9.278109591576818</v>
      </c>
      <c r="N20" s="8">
        <f t="shared" si="1"/>
        <v>27.750037616277606</v>
      </c>
      <c r="O20" s="9">
        <f t="shared" si="3"/>
        <v>11.579121131369604</v>
      </c>
    </row>
    <row r="21" spans="1:15" ht="15">
      <c r="A21" s="24"/>
      <c r="B21" s="4" t="s">
        <v>74</v>
      </c>
      <c r="C21" s="19" t="s">
        <v>13</v>
      </c>
      <c r="D21" s="36">
        <f>D12/D18*1000</f>
        <v>25.80128205128205</v>
      </c>
      <c r="E21" s="36">
        <f>E12/E18*1000</f>
        <v>26.521960673671003</v>
      </c>
      <c r="F21" s="36">
        <f>F12/F18*1000</f>
        <v>38.25680047798657</v>
      </c>
      <c r="G21" s="36">
        <f>G12/G18*1000</f>
        <v>54.356120705571065</v>
      </c>
      <c r="H21" s="25"/>
      <c r="J21">
        <f t="shared" si="0"/>
        <v>2031</v>
      </c>
      <c r="K21" s="8">
        <f t="shared" si="4"/>
        <v>22.459774873764413</v>
      </c>
      <c r="L21" s="8">
        <f t="shared" si="2"/>
        <v>8.8412069120829</v>
      </c>
      <c r="N21" s="8">
        <f t="shared" si="1"/>
        <v>28.16462317826479</v>
      </c>
      <c r="O21" s="9">
        <f t="shared" si="3"/>
        <v>11.086899246294593</v>
      </c>
    </row>
    <row r="22" spans="1:15" ht="15">
      <c r="A22" s="24"/>
      <c r="B22" s="4"/>
      <c r="C22" s="4"/>
      <c r="D22" s="4"/>
      <c r="E22" s="4"/>
      <c r="F22" s="4"/>
      <c r="G22" s="4"/>
      <c r="H22" s="25"/>
      <c r="J22">
        <f t="shared" si="0"/>
        <v>2032</v>
      </c>
      <c r="K22" s="8">
        <f t="shared" si="4"/>
        <v>22.686281703366326</v>
      </c>
      <c r="L22" s="8">
        <f t="shared" si="2"/>
        <v>8.42487781489741</v>
      </c>
      <c r="N22" s="8">
        <f t="shared" si="1"/>
        <v>28.585402648548065</v>
      </c>
      <c r="O22" s="9">
        <f t="shared" si="3"/>
        <v>10.615601434937956</v>
      </c>
    </row>
    <row r="23" spans="1:15" ht="15">
      <c r="A23" s="27" t="s">
        <v>71</v>
      </c>
      <c r="B23" s="4"/>
      <c r="C23" s="37"/>
      <c r="D23" s="4"/>
      <c r="E23" s="4"/>
      <c r="F23" s="4"/>
      <c r="G23" s="4"/>
      <c r="H23" s="25"/>
      <c r="J23">
        <f t="shared" si="0"/>
        <v>2033</v>
      </c>
      <c r="K23" s="8">
        <f t="shared" si="4"/>
        <v>22.915072854344775</v>
      </c>
      <c r="L23" s="8">
        <f t="shared" si="2"/>
        <v>8.028153497793065</v>
      </c>
      <c r="N23" s="8">
        <f t="shared" si="1"/>
        <v>29.012468564117373</v>
      </c>
      <c r="O23" s="9">
        <f t="shared" si="3"/>
        <v>10.164338226769743</v>
      </c>
    </row>
    <row r="24" spans="1:15" ht="15">
      <c r="A24" s="24"/>
      <c r="B24" s="4" t="s">
        <v>20</v>
      </c>
      <c r="C24" s="19">
        <v>10</v>
      </c>
      <c r="D24" s="4"/>
      <c r="E24" s="4"/>
      <c r="F24" s="34">
        <v>500</v>
      </c>
      <c r="G24" s="34">
        <v>500</v>
      </c>
      <c r="H24" s="25"/>
      <c r="J24">
        <f t="shared" si="0"/>
        <v>2034</v>
      </c>
      <c r="K24" s="8">
        <f t="shared" si="4"/>
        <v>23.14617136408084</v>
      </c>
      <c r="L24" s="8">
        <f t="shared" si="2"/>
        <v>7.6501107790738745</v>
      </c>
      <c r="N24" s="8">
        <f t="shared" si="1"/>
        <v>29.445914844465285</v>
      </c>
      <c r="O24" s="9">
        <f t="shared" si="3"/>
        <v>9.732257962148756</v>
      </c>
    </row>
    <row r="25" spans="1:15" ht="15">
      <c r="A25" s="24"/>
      <c r="B25" s="4" t="s">
        <v>21</v>
      </c>
      <c r="C25" s="19" t="s">
        <v>79</v>
      </c>
      <c r="D25" s="4"/>
      <c r="E25" s="4"/>
      <c r="F25" s="36">
        <f>F24*F21/1000</f>
        <v>19.128400238993287</v>
      </c>
      <c r="G25" s="39">
        <f>G24*G21/1000</f>
        <v>27.178060352785533</v>
      </c>
      <c r="H25" s="38">
        <f>K40</f>
        <v>27.177275231155875</v>
      </c>
      <c r="I25" s="48" t="s">
        <v>19</v>
      </c>
      <c r="J25">
        <f t="shared" si="0"/>
        <v>2035</v>
      </c>
      <c r="K25" s="8">
        <f t="shared" si="4"/>
        <v>23.37960050228759</v>
      </c>
      <c r="L25" s="8">
        <f t="shared" si="2"/>
        <v>7.289869949321541</v>
      </c>
      <c r="N25" s="8">
        <f t="shared" si="1"/>
        <v>29.885836812241596</v>
      </c>
      <c r="O25" s="9">
        <f t="shared" si="3"/>
        <v>9.318545185003074</v>
      </c>
    </row>
    <row r="26" spans="1:15" ht="15">
      <c r="A26" s="24"/>
      <c r="B26" s="26" t="s">
        <v>22</v>
      </c>
      <c r="C26" s="19" t="s">
        <v>80</v>
      </c>
      <c r="D26" s="4"/>
      <c r="E26" s="4"/>
      <c r="F26" s="20">
        <f>L41</f>
        <v>315.5313076908034</v>
      </c>
      <c r="G26" s="4"/>
      <c r="H26" s="25"/>
      <c r="I26" s="54">
        <v>0.010085</v>
      </c>
      <c r="J26">
        <f t="shared" si="0"/>
        <v>2036</v>
      </c>
      <c r="K26" s="8">
        <f t="shared" si="4"/>
        <v>23.61538377335316</v>
      </c>
      <c r="L26" s="8">
        <f t="shared" si="2"/>
        <v>6.946592724302308</v>
      </c>
      <c r="N26" s="8">
        <f t="shared" si="1"/>
        <v>30.332331214216484</v>
      </c>
      <c r="O26" s="9">
        <f t="shared" si="3"/>
        <v>8.922419103836809</v>
      </c>
    </row>
    <row r="27" spans="1:15" ht="15">
      <c r="A27" s="24"/>
      <c r="B27" s="4" t="s">
        <v>44</v>
      </c>
      <c r="C27" s="19" t="s">
        <v>106</v>
      </c>
      <c r="D27" s="4"/>
      <c r="E27" s="4"/>
      <c r="F27" s="20">
        <f>H8*1.25</f>
        <v>365</v>
      </c>
      <c r="G27" s="4"/>
      <c r="H27" s="25"/>
      <c r="J27">
        <f t="shared" si="0"/>
        <v>2037</v>
      </c>
      <c r="K27" s="8">
        <f t="shared" si="4"/>
        <v>23.853544918707424</v>
      </c>
      <c r="L27" s="8">
        <f t="shared" si="2"/>
        <v>6.619480294270657</v>
      </c>
      <c r="N27" s="8">
        <f t="shared" si="1"/>
        <v>30.785496242556878</v>
      </c>
      <c r="O27" s="9">
        <f t="shared" si="3"/>
        <v>8.543132118158614</v>
      </c>
    </row>
    <row r="28" spans="1:15" ht="15">
      <c r="A28" s="24"/>
      <c r="B28" s="4" t="s">
        <v>23</v>
      </c>
      <c r="C28" s="19" t="s">
        <v>97</v>
      </c>
      <c r="D28" s="4"/>
      <c r="E28" s="4"/>
      <c r="F28" s="34">
        <f>150*1.25</f>
        <v>187.5</v>
      </c>
      <c r="G28" s="4"/>
      <c r="H28" s="25"/>
      <c r="J28">
        <f t="shared" si="0"/>
        <v>2038</v>
      </c>
      <c r="K28" s="8">
        <f t="shared" si="4"/>
        <v>24.094107919212586</v>
      </c>
      <c r="L28" s="8">
        <f t="shared" si="2"/>
        <v>6.307771465130542</v>
      </c>
      <c r="N28" s="8">
        <f t="shared" si="1"/>
        <v>31.245431556420677</v>
      </c>
      <c r="O28" s="9">
        <f t="shared" si="3"/>
        <v>8.17996840755085</v>
      </c>
    </row>
    <row r="29" spans="1:15" ht="15">
      <c r="A29" s="24"/>
      <c r="B29" s="45" t="s">
        <v>81</v>
      </c>
      <c r="C29" s="52" t="s">
        <v>86</v>
      </c>
      <c r="D29" s="1"/>
      <c r="E29" s="1"/>
      <c r="F29" s="18">
        <f>F$9*0.1*I29/100</f>
        <v>41.921600000000005</v>
      </c>
      <c r="G29" s="1"/>
      <c r="H29" s="25"/>
      <c r="I29" s="8">
        <v>68.95</v>
      </c>
      <c r="J29">
        <f t="shared" si="0"/>
        <v>2039</v>
      </c>
      <c r="K29" s="8">
        <f t="shared" si="4"/>
        <v>24.33709699757784</v>
      </c>
      <c r="L29" s="8">
        <f t="shared" si="2"/>
        <v>6.010740887128664</v>
      </c>
      <c r="N29" s="8">
        <f t="shared" si="1"/>
        <v>31.7122383038736</v>
      </c>
      <c r="O29" s="9">
        <f t="shared" si="3"/>
        <v>7.832242580716662</v>
      </c>
    </row>
    <row r="30" spans="1:15" ht="15">
      <c r="A30" s="24"/>
      <c r="B30" s="2" t="s">
        <v>24</v>
      </c>
      <c r="C30" s="19" t="s">
        <v>87</v>
      </c>
      <c r="D30" s="4"/>
      <c r="E30" s="4"/>
      <c r="F30" s="20">
        <f>SUM(F26:F29)</f>
        <v>909.9529076908034</v>
      </c>
      <c r="G30" s="4"/>
      <c r="H30" s="57">
        <f>F30/F44</f>
        <v>0.6894521128385075</v>
      </c>
      <c r="J30">
        <f t="shared" si="0"/>
        <v>2040</v>
      </c>
      <c r="K30" s="8">
        <f t="shared" si="4"/>
        <v>24.58253662079841</v>
      </c>
      <c r="L30" s="8">
        <f t="shared" si="2"/>
        <v>5.727697366957883</v>
      </c>
      <c r="N30" s="8">
        <f t="shared" si="1"/>
        <v>32.18601914413347</v>
      </c>
      <c r="O30" s="9">
        <f t="shared" si="3"/>
        <v>7.499298381955253</v>
      </c>
    </row>
    <row r="31" spans="1:15" ht="15">
      <c r="A31" s="24"/>
      <c r="B31" s="4"/>
      <c r="C31" s="4"/>
      <c r="D31" s="4"/>
      <c r="E31" s="4"/>
      <c r="F31" s="4"/>
      <c r="G31" s="4"/>
      <c r="H31" s="25"/>
      <c r="J31">
        <f t="shared" si="0"/>
        <v>2041</v>
      </c>
      <c r="K31" s="8">
        <f t="shared" si="4"/>
        <v>24.830451502619162</v>
      </c>
      <c r="L31" s="8">
        <f t="shared" si="2"/>
        <v>5.457982259343068</v>
      </c>
      <c r="N31" s="8">
        <f t="shared" si="1"/>
        <v>32.66687827014682</v>
      </c>
      <c r="O31" s="9">
        <f t="shared" si="3"/>
        <v>7.1805074526242105</v>
      </c>
    </row>
    <row r="32" spans="1:15" ht="15">
      <c r="A32" s="27" t="s">
        <v>38</v>
      </c>
      <c r="B32" s="41"/>
      <c r="C32" s="4"/>
      <c r="D32" s="4"/>
      <c r="E32" s="4"/>
      <c r="F32" s="4"/>
      <c r="G32" s="4"/>
      <c r="H32" s="25"/>
      <c r="J32">
        <f t="shared" si="0"/>
        <v>2042</v>
      </c>
      <c r="K32" s="8">
        <f t="shared" si="4"/>
        <v>25.080866606023076</v>
      </c>
      <c r="L32" s="8">
        <f t="shared" si="2"/>
        <v>5.200967934366549</v>
      </c>
      <c r="N32" s="8">
        <f t="shared" si="1"/>
        <v>33.15492143150281</v>
      </c>
      <c r="O32" s="9">
        <f t="shared" si="3"/>
        <v>6.875268145251334</v>
      </c>
    </row>
    <row r="33" spans="1:15" ht="15">
      <c r="A33" s="24"/>
      <c r="B33" s="4" t="s">
        <v>47</v>
      </c>
      <c r="C33" s="19">
        <v>17</v>
      </c>
      <c r="D33" s="4">
        <f>D18-D24</f>
        <v>3120</v>
      </c>
      <c r="E33" s="4">
        <f>E18-E24</f>
        <v>3430</v>
      </c>
      <c r="F33" s="4">
        <f>F18-F24</f>
        <v>3180</v>
      </c>
      <c r="G33" s="5">
        <f>G18-G24</f>
        <v>3542.381091705955</v>
      </c>
      <c r="H33" s="25"/>
      <c r="J33">
        <f t="shared" si="0"/>
        <v>2043</v>
      </c>
      <c r="K33" s="8">
        <f t="shared" si="4"/>
        <v>25.333807145744817</v>
      </c>
      <c r="L33" s="8">
        <f t="shared" si="2"/>
        <v>4.956056316966637</v>
      </c>
      <c r="N33" s="8">
        <f t="shared" si="1"/>
        <v>33.65025595768946</v>
      </c>
      <c r="O33" s="9">
        <f t="shared" si="3"/>
        <v>6.583004388057914</v>
      </c>
    </row>
    <row r="34" spans="1:15" ht="15">
      <c r="A34" s="24"/>
      <c r="B34" s="4" t="s">
        <v>21</v>
      </c>
      <c r="C34" s="37" t="s">
        <v>88</v>
      </c>
      <c r="D34" s="4"/>
      <c r="E34" s="4"/>
      <c r="F34" s="36">
        <f>F33*F21/1000</f>
        <v>121.6566255199973</v>
      </c>
      <c r="G34" s="36">
        <f>G33*G21/1000</f>
        <v>192.5500942059015</v>
      </c>
      <c r="H34" s="25"/>
      <c r="J34">
        <f t="shared" si="0"/>
        <v>2044</v>
      </c>
      <c r="K34" s="8">
        <f t="shared" si="4"/>
        <v>25.58929859080965</v>
      </c>
      <c r="L34" s="8">
        <f t="shared" si="2"/>
        <v>4.7226774952106085</v>
      </c>
      <c r="N34" s="8">
        <f t="shared" si="1"/>
        <v>34.15299078169734</v>
      </c>
      <c r="O34" s="9">
        <f t="shared" si="3"/>
        <v>6.30316459775047</v>
      </c>
    </row>
    <row r="35" spans="1:15" ht="15">
      <c r="A35" s="24"/>
      <c r="B35" s="1" t="s">
        <v>32</v>
      </c>
      <c r="C35" s="14">
        <v>19</v>
      </c>
      <c r="D35" s="1"/>
      <c r="E35" s="1"/>
      <c r="F35" s="10">
        <f>Base!F30</f>
        <v>99.44102575899059</v>
      </c>
      <c r="G35" s="10">
        <f>Base!G30</f>
        <v>155.20111574117826</v>
      </c>
      <c r="H35" s="25"/>
      <c r="J35">
        <f t="shared" si="0"/>
        <v>2045</v>
      </c>
      <c r="K35" s="8">
        <f t="shared" si="4"/>
        <v>25.847366667097965</v>
      </c>
      <c r="L35" s="8">
        <f t="shared" si="2"/>
        <v>4.500288394103592</v>
      </c>
      <c r="N35" s="8">
        <f t="shared" si="1"/>
        <v>34.6632364639759</v>
      </c>
      <c r="O35" s="9">
        <f t="shared" si="3"/>
        <v>6.035220638529116</v>
      </c>
    </row>
    <row r="36" spans="1:15" ht="15">
      <c r="A36" s="24"/>
      <c r="B36" s="4" t="s">
        <v>33</v>
      </c>
      <c r="C36" s="19" t="s">
        <v>89</v>
      </c>
      <c r="D36" s="4"/>
      <c r="E36" s="4"/>
      <c r="F36" s="36">
        <f>F34-F35</f>
        <v>22.215599761006715</v>
      </c>
      <c r="G36" s="39">
        <f>G34-G35</f>
        <v>37.348978464723245</v>
      </c>
      <c r="H36" s="25"/>
      <c r="J36">
        <f t="shared" si="0"/>
        <v>2046</v>
      </c>
      <c r="K36" s="8">
        <f t="shared" si="4"/>
        <v>26.108037359935647</v>
      </c>
      <c r="L36" s="8">
        <f t="shared" si="2"/>
        <v>4.288371511847288</v>
      </c>
      <c r="N36" s="8">
        <f t="shared" si="1"/>
        <v>35.181105216747696</v>
      </c>
      <c r="O36" s="9">
        <f t="shared" si="3"/>
        <v>5.778666825347866</v>
      </c>
    </row>
    <row r="37" spans="1:15" ht="15">
      <c r="A37" s="24"/>
      <c r="B37" s="4" t="s">
        <v>34</v>
      </c>
      <c r="C37" s="19" t="s">
        <v>90</v>
      </c>
      <c r="D37" s="4"/>
      <c r="E37" s="4"/>
      <c r="F37" s="20">
        <f>O41</f>
        <v>390.98901158341494</v>
      </c>
      <c r="G37" s="4"/>
      <c r="H37" s="25"/>
      <c r="I37" s="8">
        <f>100-I29</f>
        <v>31.049999999999997</v>
      </c>
      <c r="J37">
        <f t="shared" si="0"/>
        <v>2047</v>
      </c>
      <c r="K37" s="8">
        <f t="shared" si="4"/>
        <v>26.371336916710597</v>
      </c>
      <c r="L37" s="8">
        <f t="shared" si="2"/>
        <v>4.0864337156078</v>
      </c>
      <c r="N37" s="8">
        <f t="shared" si="1"/>
        <v>35.70671092868591</v>
      </c>
      <c r="O37" s="9">
        <f t="shared" si="3"/>
        <v>5.533018969545816</v>
      </c>
    </row>
    <row r="38" spans="1:15" ht="15">
      <c r="A38" s="24"/>
      <c r="B38" s="45" t="s">
        <v>81</v>
      </c>
      <c r="C38" s="50" t="s">
        <v>92</v>
      </c>
      <c r="D38" s="1"/>
      <c r="E38" s="1"/>
      <c r="F38" s="18">
        <f>F$9*0.1*I37/100</f>
        <v>18.8784</v>
      </c>
      <c r="G38" s="1"/>
      <c r="H38" s="25"/>
      <c r="J38">
        <f t="shared" si="0"/>
        <v>2048</v>
      </c>
      <c r="K38" s="8">
        <f t="shared" si="4"/>
        <v>26.63729184951562</v>
      </c>
      <c r="L38" s="8">
        <f t="shared" si="2"/>
        <v>3.894005093990287</v>
      </c>
      <c r="N38" s="8">
        <f t="shared" si="1"/>
        <v>36.240169189960476</v>
      </c>
      <c r="O38" s="9">
        <f t="shared" si="3"/>
        <v>5.297813465047954</v>
      </c>
    </row>
    <row r="39" spans="1:15" ht="15">
      <c r="A39" s="24"/>
      <c r="B39" s="2" t="s">
        <v>82</v>
      </c>
      <c r="C39" s="13" t="s">
        <v>91</v>
      </c>
      <c r="F39" s="53">
        <f>SUM(F37:F38)</f>
        <v>409.86741158341493</v>
      </c>
      <c r="H39" s="57">
        <f>F39/F44</f>
        <v>0.3105478871614925</v>
      </c>
      <c r="J39">
        <f t="shared" si="0"/>
        <v>2049</v>
      </c>
      <c r="K39" s="8">
        <f t="shared" si="4"/>
        <v>26.905928937817983</v>
      </c>
      <c r="L39" s="8">
        <f t="shared" si="2"/>
        <v>3.710637863550168</v>
      </c>
      <c r="N39" s="8">
        <f t="shared" si="1"/>
        <v>36.78159731765848</v>
      </c>
      <c r="O39" s="9">
        <f t="shared" si="3"/>
        <v>5.072606413411102</v>
      </c>
    </row>
    <row r="40" spans="1:15" ht="15">
      <c r="A40" s="24"/>
      <c r="H40" s="25"/>
      <c r="J40">
        <f t="shared" si="0"/>
        <v>2050</v>
      </c>
      <c r="K40" s="8">
        <f t="shared" si="4"/>
        <v>27.177275231155875</v>
      </c>
      <c r="L40" s="8">
        <f t="shared" si="2"/>
        <v>3.535905326796293</v>
      </c>
      <c r="N40" s="8">
        <f t="shared" si="1"/>
        <v>37.3311143815843</v>
      </c>
      <c r="O40" s="9">
        <f t="shared" si="3"/>
        <v>4.856972786063645</v>
      </c>
    </row>
    <row r="41" spans="1:15" ht="15">
      <c r="A41" s="24"/>
      <c r="B41" s="4" t="s">
        <v>61</v>
      </c>
      <c r="C41" s="19">
        <v>24</v>
      </c>
      <c r="D41" s="4"/>
      <c r="E41" s="4"/>
      <c r="F41" s="4">
        <v>1313</v>
      </c>
      <c r="G41" s="4"/>
      <c r="H41" s="25"/>
      <c r="K41" s="8" t="s">
        <v>29</v>
      </c>
      <c r="L41" s="8">
        <f>SUM(L6:L40)</f>
        <v>315.5313076908034</v>
      </c>
      <c r="O41" s="8">
        <f>SUM(O6:O40)</f>
        <v>390.98901158341494</v>
      </c>
    </row>
    <row r="42" spans="1:14" ht="15">
      <c r="A42" s="24"/>
      <c r="B42" s="4" t="s">
        <v>63</v>
      </c>
      <c r="C42" s="19" t="s">
        <v>94</v>
      </c>
      <c r="D42" s="4"/>
      <c r="E42" s="4"/>
      <c r="F42" s="5">
        <f>F30-F29+F37</f>
        <v>1259.0203192742183</v>
      </c>
      <c r="G42" s="51">
        <f>F42/F41</f>
        <v>0.9588882858143323</v>
      </c>
      <c r="H42" s="25"/>
      <c r="N42" s="17">
        <v>0.01494</v>
      </c>
    </row>
    <row r="43" spans="1:8" ht="15">
      <c r="A43" s="24"/>
      <c r="B43" s="45" t="s">
        <v>83</v>
      </c>
      <c r="C43" s="14" t="s">
        <v>96</v>
      </c>
      <c r="D43" s="1"/>
      <c r="E43" s="1"/>
      <c r="F43" s="1">
        <f>0.1*F9</f>
        <v>60.800000000000004</v>
      </c>
      <c r="G43" s="56"/>
      <c r="H43" s="25"/>
    </row>
    <row r="44" spans="1:8" ht="15">
      <c r="A44" s="28"/>
      <c r="B44" s="45" t="s">
        <v>93</v>
      </c>
      <c r="C44" s="52" t="s">
        <v>95</v>
      </c>
      <c r="D44" s="1"/>
      <c r="E44" s="1"/>
      <c r="F44" s="6">
        <f>SUM(F42:F43)</f>
        <v>1319.8203192742183</v>
      </c>
      <c r="G44" s="46">
        <f>F44/F41</f>
        <v>1.0051944548927785</v>
      </c>
      <c r="H44" s="29"/>
    </row>
    <row r="45" spans="2:6" ht="15">
      <c r="B45" s="2"/>
      <c r="C45" s="15"/>
      <c r="F45" s="42"/>
    </row>
  </sheetData>
  <sheetProtection/>
  <printOptions/>
  <pageMargins left="0.7" right="0.7" top="0.75" bottom="0.75" header="0.3" footer="0.3"/>
  <pageSetup horizontalDpi="600" verticalDpi="600" orientation="landscape" paperSize="1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45"/>
  <sheetViews>
    <sheetView zoomScalePageLayoutView="0" workbookViewId="0" topLeftCell="A32">
      <selection activeCell="B55" sqref="B55"/>
    </sheetView>
  </sheetViews>
  <sheetFormatPr defaultColWidth="9.140625" defaultRowHeight="15"/>
  <cols>
    <col min="1" max="1" width="3.57421875" style="0" customWidth="1"/>
    <col min="2" max="2" width="29.00390625" style="0" customWidth="1"/>
    <col min="3" max="3" width="11.8515625" style="0" customWidth="1"/>
    <col min="8" max="8" width="9.8515625" style="0" customWidth="1"/>
  </cols>
  <sheetData>
    <row r="1" spans="1:8" ht="18.75">
      <c r="A1" s="21"/>
      <c r="B1" s="22"/>
      <c r="C1" s="30" t="s">
        <v>45</v>
      </c>
      <c r="D1" s="22"/>
      <c r="E1" s="22"/>
      <c r="F1" s="22"/>
      <c r="G1" s="22"/>
      <c r="H1" s="23"/>
    </row>
    <row r="2" spans="1:10" ht="18.75">
      <c r="A2" s="24"/>
      <c r="B2" s="31" t="s">
        <v>124</v>
      </c>
      <c r="C2" s="4"/>
      <c r="D2" s="4"/>
      <c r="E2" s="4"/>
      <c r="F2" s="4"/>
      <c r="G2" s="4"/>
      <c r="H2" s="25"/>
      <c r="J2" s="12">
        <f>'HQ500'!J2</f>
        <v>0.0128</v>
      </c>
    </row>
    <row r="3" spans="1:14" ht="15">
      <c r="A3" s="24"/>
      <c r="B3" s="4"/>
      <c r="C3" s="4"/>
      <c r="D3" s="4"/>
      <c r="E3" s="4"/>
      <c r="F3" s="4"/>
      <c r="G3" s="4"/>
      <c r="H3" s="25"/>
      <c r="K3" t="s">
        <v>35</v>
      </c>
      <c r="N3" t="s">
        <v>36</v>
      </c>
    </row>
    <row r="4" spans="1:12" ht="15">
      <c r="A4" s="24"/>
      <c r="B4" s="4"/>
      <c r="C4" s="4"/>
      <c r="D4" s="4" t="s">
        <v>0</v>
      </c>
      <c r="E4" s="4" t="s">
        <v>1</v>
      </c>
      <c r="F4" s="4" t="s">
        <v>6</v>
      </c>
      <c r="G4" s="4" t="s">
        <v>7</v>
      </c>
      <c r="H4" s="25"/>
      <c r="K4" s="11" t="s">
        <v>28</v>
      </c>
      <c r="L4" s="11">
        <v>2015</v>
      </c>
    </row>
    <row r="5" spans="1:14" ht="15">
      <c r="A5" s="27" t="s">
        <v>14</v>
      </c>
      <c r="B5" s="4"/>
      <c r="C5" s="4"/>
      <c r="D5" s="4"/>
      <c r="E5" s="4"/>
      <c r="F5" s="4"/>
      <c r="G5" s="4"/>
      <c r="H5" s="25"/>
      <c r="J5">
        <v>2015</v>
      </c>
      <c r="K5" s="8">
        <f>F25</f>
        <v>15.635085021601984</v>
      </c>
      <c r="L5" s="8"/>
      <c r="N5" s="8">
        <f>F36</f>
        <v>-0.0018850216019785648</v>
      </c>
    </row>
    <row r="6" spans="1:15" ht="15">
      <c r="A6" s="24"/>
      <c r="B6" s="4" t="s">
        <v>15</v>
      </c>
      <c r="C6" s="4"/>
      <c r="D6" s="32" t="s">
        <v>16</v>
      </c>
      <c r="E6" s="32" t="s">
        <v>18</v>
      </c>
      <c r="F6" s="32" t="s">
        <v>17</v>
      </c>
      <c r="G6" s="4"/>
      <c r="H6" s="33" t="s">
        <v>40</v>
      </c>
      <c r="J6">
        <f aca="true" t="shared" si="0" ref="J6:J40">J5+1</f>
        <v>2016</v>
      </c>
      <c r="K6" s="8">
        <f>K5*(1+$I$26)</f>
        <v>15.792763290536339</v>
      </c>
      <c r="L6" s="8">
        <f>K6/(1.06^(J6-J$5))</f>
        <v>14.898833292958809</v>
      </c>
      <c r="N6" s="8">
        <f aca="true" t="shared" si="1" ref="N6:N40">N5*(1+$N$42)</f>
        <v>-0.0019144656394014699</v>
      </c>
      <c r="O6" s="9">
        <f>N6/(1.06^(J6-J$5))</f>
        <v>-0.0018060996598127073</v>
      </c>
    </row>
    <row r="7" spans="1:15" ht="15">
      <c r="A7" s="24"/>
      <c r="B7" s="4" t="s">
        <v>41</v>
      </c>
      <c r="C7" s="19">
        <v>1</v>
      </c>
      <c r="D7" s="4"/>
      <c r="E7" s="4">
        <v>75</v>
      </c>
      <c r="F7" s="34">
        <f>450+600</f>
        <v>1050</v>
      </c>
      <c r="G7" s="4"/>
      <c r="H7" s="25"/>
      <c r="J7">
        <f t="shared" si="0"/>
        <v>2017</v>
      </c>
      <c r="K7" s="8">
        <f>K6*(1+I$26)</f>
        <v>15.95203172904507</v>
      </c>
      <c r="L7" s="8">
        <f aca="true" t="shared" si="2" ref="L7:L40">K7/(1.06^(J7-J$5))</f>
        <v>14.19725144984431</v>
      </c>
      <c r="N7" s="8">
        <f t="shared" si="1"/>
        <v>-0.0019443695926889208</v>
      </c>
      <c r="O7" s="9">
        <f aca="true" t="shared" si="3" ref="O7:O40">N7/(1.06^(J7-J$5))</f>
        <v>-0.001730482015565077</v>
      </c>
    </row>
    <row r="8" spans="1:15" ht="15">
      <c r="A8" s="24"/>
      <c r="B8" s="1" t="s">
        <v>42</v>
      </c>
      <c r="C8" s="14">
        <v>2</v>
      </c>
      <c r="D8" s="1"/>
      <c r="E8" s="1"/>
      <c r="F8" s="1">
        <v>150</v>
      </c>
      <c r="G8" s="1"/>
      <c r="H8" s="35">
        <v>670.1</v>
      </c>
      <c r="J8">
        <f t="shared" si="0"/>
        <v>2018</v>
      </c>
      <c r="K8" s="8">
        <f aca="true" t="shared" si="4" ref="K8:K40">K7*(1+I$26)</f>
        <v>16.11290637382932</v>
      </c>
      <c r="L8" s="8">
        <f t="shared" si="2"/>
        <v>13.528706897161175</v>
      </c>
      <c r="N8" s="8">
        <f t="shared" si="1"/>
        <v>-0.0019747406457267217</v>
      </c>
      <c r="O8" s="9">
        <f t="shared" si="3"/>
        <v>-0.0016580303251398144</v>
      </c>
    </row>
    <row r="9" spans="1:15" ht="15">
      <c r="A9" s="24"/>
      <c r="B9" s="2" t="s">
        <v>43</v>
      </c>
      <c r="C9" s="19" t="s">
        <v>84</v>
      </c>
      <c r="D9" s="4"/>
      <c r="E9" s="4">
        <f>E7</f>
        <v>75</v>
      </c>
      <c r="F9" s="34">
        <f>F7-F8-H8</f>
        <v>229.89999999999998</v>
      </c>
      <c r="G9" s="4"/>
      <c r="H9" s="25"/>
      <c r="J9">
        <f t="shared" si="0"/>
        <v>2019</v>
      </c>
      <c r="K9" s="8">
        <f t="shared" si="4"/>
        <v>16.27540342331875</v>
      </c>
      <c r="L9" s="8">
        <f t="shared" si="2"/>
        <v>12.891643918253166</v>
      </c>
      <c r="N9" s="8">
        <f t="shared" si="1"/>
        <v>-0.002005586094612973</v>
      </c>
      <c r="O9" s="9">
        <f t="shared" si="3"/>
        <v>-0.0015886120366212248</v>
      </c>
    </row>
    <row r="10" spans="1:15" ht="15">
      <c r="A10" s="24"/>
      <c r="B10" s="4"/>
      <c r="C10" s="4"/>
      <c r="D10" s="4"/>
      <c r="E10" s="4"/>
      <c r="F10" s="4"/>
      <c r="G10" s="4"/>
      <c r="H10" s="25"/>
      <c r="J10">
        <f t="shared" si="0"/>
        <v>2020</v>
      </c>
      <c r="K10" s="8">
        <f t="shared" si="4"/>
        <v>16.43953923930258</v>
      </c>
      <c r="L10" s="8">
        <f t="shared" si="2"/>
        <v>12.284580054721092</v>
      </c>
      <c r="N10" s="8">
        <f t="shared" si="1"/>
        <v>-0.0020369133494108275</v>
      </c>
      <c r="O10" s="9">
        <f t="shared" si="3"/>
        <v>-0.001522100147767215</v>
      </c>
    </row>
    <row r="11" spans="1:15" ht="15">
      <c r="A11" s="27" t="s">
        <v>8</v>
      </c>
      <c r="B11" s="4"/>
      <c r="C11" s="4"/>
      <c r="D11" s="4"/>
      <c r="E11" s="4"/>
      <c r="F11" s="4"/>
      <c r="G11" s="4"/>
      <c r="H11" s="25"/>
      <c r="J11">
        <f t="shared" si="0"/>
        <v>2021</v>
      </c>
      <c r="K11" s="8">
        <f t="shared" si="4"/>
        <v>16.605330348577024</v>
      </c>
      <c r="L11" s="8">
        <f t="shared" si="2"/>
        <v>11.706102656712217</v>
      </c>
      <c r="N11" s="8">
        <f t="shared" si="1"/>
        <v>-0.0020687299359286246</v>
      </c>
      <c r="O11" s="9">
        <f t="shared" si="3"/>
        <v>-0.0014583729736559802</v>
      </c>
    </row>
    <row r="12" spans="1:15" ht="15">
      <c r="A12" s="24"/>
      <c r="B12" s="4" t="s">
        <v>75</v>
      </c>
      <c r="C12" s="19" t="s">
        <v>85</v>
      </c>
      <c r="D12" s="36">
        <v>80.5</v>
      </c>
      <c r="E12" s="36">
        <f>D12*1.013^5+E$9*0.068</f>
        <v>90.97032511069155</v>
      </c>
      <c r="F12" s="36">
        <f>E12*(1+J2)^7+F$9*0.068</f>
        <v>115.0742257589906</v>
      </c>
      <c r="G12" s="36">
        <f>F12*(1+J2)^35+G$9*0.068</f>
        <v>179.60040229404876</v>
      </c>
      <c r="H12" s="25"/>
      <c r="J12">
        <f t="shared" si="0"/>
        <v>2022</v>
      </c>
      <c r="K12" s="8">
        <f t="shared" si="4"/>
        <v>16.772793444609388</v>
      </c>
      <c r="L12" s="8">
        <f t="shared" si="2"/>
        <v>11.154865595655558</v>
      </c>
      <c r="N12" s="8">
        <f t="shared" si="1"/>
        <v>-0.0021010434975278296</v>
      </c>
      <c r="O12" s="9">
        <f t="shared" si="3"/>
        <v>-0.0013973139240608362</v>
      </c>
    </row>
    <row r="13" spans="1:15" ht="15">
      <c r="A13" s="24"/>
      <c r="B13" s="47"/>
      <c r="C13" s="4"/>
      <c r="D13" s="4"/>
      <c r="E13" s="4"/>
      <c r="F13" s="4"/>
      <c r="G13" s="4"/>
      <c r="H13" s="25"/>
      <c r="J13">
        <f t="shared" si="0"/>
        <v>2023</v>
      </c>
      <c r="K13" s="8">
        <f t="shared" si="4"/>
        <v>16.94194538921893</v>
      </c>
      <c r="L13" s="8">
        <f t="shared" si="2"/>
        <v>10.629586131793573</v>
      </c>
      <c r="N13" s="8">
        <f t="shared" si="1"/>
        <v>-0.0021338617969592143</v>
      </c>
      <c r="O13" s="9">
        <f t="shared" si="3"/>
        <v>-0.0013388112901459117</v>
      </c>
    </row>
    <row r="14" spans="1:15" ht="15">
      <c r="A14" s="27" t="s">
        <v>9</v>
      </c>
      <c r="B14" s="4"/>
      <c r="C14" s="37"/>
      <c r="D14" s="4"/>
      <c r="E14" s="4"/>
      <c r="F14" s="4"/>
      <c r="G14" s="4"/>
      <c r="H14" s="25"/>
      <c r="J14">
        <f t="shared" si="0"/>
        <v>2024</v>
      </c>
      <c r="K14" s="8">
        <f t="shared" si="4"/>
        <v>17.112803214274663</v>
      </c>
      <c r="L14" s="8">
        <f t="shared" si="2"/>
        <v>10.129041929220847</v>
      </c>
      <c r="N14" s="8">
        <f t="shared" si="1"/>
        <v>-0.002167192718227717</v>
      </c>
      <c r="O14" s="9">
        <f t="shared" si="3"/>
        <v>-0.001282758040092444</v>
      </c>
    </row>
    <row r="15" spans="1:15" ht="15">
      <c r="A15" s="24"/>
      <c r="B15" s="4" t="s">
        <v>5</v>
      </c>
      <c r="C15" s="19">
        <v>5</v>
      </c>
      <c r="D15" s="4">
        <v>2100</v>
      </c>
      <c r="E15" s="4">
        <v>2100</v>
      </c>
      <c r="F15" s="4">
        <v>1900</v>
      </c>
      <c r="G15" s="5">
        <f>F15*1.005^35</f>
        <v>2262.381091705955</v>
      </c>
      <c r="H15" s="25"/>
      <c r="J15">
        <f t="shared" si="0"/>
        <v>2025</v>
      </c>
      <c r="K15" s="8">
        <f t="shared" si="4"/>
        <v>17.285384123410303</v>
      </c>
      <c r="L15" s="8">
        <f t="shared" si="2"/>
        <v>9.652068211483817</v>
      </c>
      <c r="N15" s="8">
        <f t="shared" si="1"/>
        <v>-0.0022010442684864337</v>
      </c>
      <c r="O15" s="9">
        <f t="shared" si="3"/>
        <v>-0.0012290516232817809</v>
      </c>
    </row>
    <row r="16" spans="1:15" ht="15">
      <c r="A16" s="24"/>
      <c r="B16" s="4" t="s">
        <v>2</v>
      </c>
      <c r="C16" s="19">
        <v>6</v>
      </c>
      <c r="D16" s="4">
        <v>720</v>
      </c>
      <c r="E16" s="4">
        <v>1080</v>
      </c>
      <c r="F16" s="4">
        <v>1580</v>
      </c>
      <c r="G16" s="4">
        <v>1580</v>
      </c>
      <c r="H16" s="25"/>
      <c r="J16">
        <f t="shared" si="0"/>
        <v>2026</v>
      </c>
      <c r="K16" s="8">
        <f t="shared" si="4"/>
        <v>17.459705493756484</v>
      </c>
      <c r="L16" s="8">
        <f t="shared" si="2"/>
        <v>9.19755505112246</v>
      </c>
      <c r="N16" s="8">
        <f t="shared" si="1"/>
        <v>-0.0022354245799601916</v>
      </c>
      <c r="O16" s="9">
        <f t="shared" si="3"/>
        <v>-0.0011775937826768322</v>
      </c>
    </row>
    <row r="17" spans="1:15" ht="15">
      <c r="A17" s="24"/>
      <c r="B17" s="1" t="s">
        <v>3</v>
      </c>
      <c r="C17" s="14">
        <v>7</v>
      </c>
      <c r="D17" s="1">
        <v>300</v>
      </c>
      <c r="E17" s="1">
        <v>250</v>
      </c>
      <c r="F17" s="1">
        <v>200</v>
      </c>
      <c r="G17" s="1">
        <v>200</v>
      </c>
      <c r="H17" s="25"/>
      <c r="J17">
        <f t="shared" si="0"/>
        <v>2027</v>
      </c>
      <c r="K17" s="8">
        <f t="shared" si="4"/>
        <v>17.63578487769047</v>
      </c>
      <c r="L17" s="8">
        <f t="shared" si="2"/>
        <v>8.764444786846722</v>
      </c>
      <c r="N17" s="8">
        <f t="shared" si="1"/>
        <v>-0.00227034191189917</v>
      </c>
      <c r="O17" s="9">
        <f t="shared" si="3"/>
        <v>-0.001128290375058721</v>
      </c>
    </row>
    <row r="18" spans="1:15" ht="15">
      <c r="A18" s="24"/>
      <c r="B18" s="2" t="s">
        <v>4</v>
      </c>
      <c r="C18" s="15" t="s">
        <v>12</v>
      </c>
      <c r="D18" s="4">
        <f>SUM(D15:D17)</f>
        <v>3120</v>
      </c>
      <c r="E18" s="4">
        <f>SUM(E15:E17)</f>
        <v>3430</v>
      </c>
      <c r="F18" s="4">
        <f>SUM(F15:F17)</f>
        <v>3680</v>
      </c>
      <c r="G18" s="5">
        <f>SUM(G15:G17)</f>
        <v>4042.381091705955</v>
      </c>
      <c r="H18" s="25"/>
      <c r="J18">
        <f t="shared" si="0"/>
        <v>2028</v>
      </c>
      <c r="K18" s="8">
        <f t="shared" si="4"/>
        <v>17.813640004603492</v>
      </c>
      <c r="L18" s="8">
        <f t="shared" si="2"/>
        <v>8.351729562337352</v>
      </c>
      <c r="N18" s="8">
        <f t="shared" si="1"/>
        <v>-0.0023058046525630347</v>
      </c>
      <c r="O18" s="9">
        <f t="shared" si="3"/>
        <v>-0.0010810511987897529</v>
      </c>
    </row>
    <row r="19" spans="1:15" ht="15">
      <c r="A19" s="24"/>
      <c r="B19" s="4"/>
      <c r="C19" s="4"/>
      <c r="D19" s="4"/>
      <c r="E19" s="4"/>
      <c r="F19" s="4"/>
      <c r="G19" s="4"/>
      <c r="H19" s="25"/>
      <c r="J19">
        <f t="shared" si="0"/>
        <v>2029</v>
      </c>
      <c r="K19" s="8">
        <f t="shared" si="4"/>
        <v>17.99328878268592</v>
      </c>
      <c r="L19" s="8">
        <f t="shared" si="2"/>
        <v>7.958448980943933</v>
      </c>
      <c r="N19" s="8">
        <f t="shared" si="1"/>
        <v>-0.0023418213212360694</v>
      </c>
      <c r="O19" s="9">
        <f t="shared" si="3"/>
        <v>-0.0010357898287875933</v>
      </c>
    </row>
    <row r="20" spans="1:15" ht="15">
      <c r="A20" s="27" t="s">
        <v>77</v>
      </c>
      <c r="B20" s="4"/>
      <c r="C20" s="4"/>
      <c r="D20" s="4"/>
      <c r="E20" s="4"/>
      <c r="F20" s="4"/>
      <c r="G20" s="4"/>
      <c r="H20" s="25"/>
      <c r="J20">
        <f t="shared" si="0"/>
        <v>2030</v>
      </c>
      <c r="K20" s="8">
        <f t="shared" si="4"/>
        <v>18.17474930073043</v>
      </c>
      <c r="L20" s="8">
        <f t="shared" si="2"/>
        <v>7.583687870822502</v>
      </c>
      <c r="N20" s="8">
        <f t="shared" si="1"/>
        <v>-0.0023784005702737767</v>
      </c>
      <c r="O20" s="9">
        <f t="shared" si="3"/>
        <v>-0.0009924234584087312</v>
      </c>
    </row>
    <row r="21" spans="1:15" ht="15">
      <c r="A21" s="24"/>
      <c r="B21" s="4" t="s">
        <v>74</v>
      </c>
      <c r="C21" s="19" t="s">
        <v>13</v>
      </c>
      <c r="D21" s="36">
        <f>D12/D18*1000</f>
        <v>25.80128205128205</v>
      </c>
      <c r="E21" s="36">
        <f>E12/E18*1000</f>
        <v>26.521960673671003</v>
      </c>
      <c r="F21" s="36">
        <f>F12/F18*1000</f>
        <v>31.27017004320397</v>
      </c>
      <c r="G21" s="36">
        <f>G12/G18*1000</f>
        <v>44.42935938488033</v>
      </c>
      <c r="H21" s="25"/>
      <c r="J21">
        <f t="shared" si="0"/>
        <v>2031</v>
      </c>
      <c r="K21" s="8">
        <f t="shared" si="4"/>
        <v>18.358039829953366</v>
      </c>
      <c r="L21" s="8">
        <f t="shared" si="2"/>
        <v>7.226574155312228</v>
      </c>
      <c r="N21" s="8">
        <f t="shared" si="1"/>
        <v>-0.002415551187181453</v>
      </c>
      <c r="O21" s="9">
        <f t="shared" si="3"/>
        <v>-0.0009508727479519582</v>
      </c>
    </row>
    <row r="22" spans="1:15" ht="15">
      <c r="A22" s="24"/>
      <c r="B22" s="4"/>
      <c r="C22" s="4"/>
      <c r="D22" s="4"/>
      <c r="E22" s="4"/>
      <c r="F22" s="4"/>
      <c r="G22" s="4"/>
      <c r="H22" s="25"/>
      <c r="J22">
        <f t="shared" si="0"/>
        <v>2032</v>
      </c>
      <c r="K22" s="8">
        <f t="shared" si="4"/>
        <v>18.543178825834463</v>
      </c>
      <c r="L22" s="8">
        <f t="shared" si="2"/>
        <v>6.886276823595411</v>
      </c>
      <c r="N22" s="8">
        <f t="shared" si="1"/>
        <v>-0.002453282096725227</v>
      </c>
      <c r="O22" s="9">
        <f t="shared" si="3"/>
        <v>-0.0009110616795046865</v>
      </c>
    </row>
    <row r="23" spans="1:15" ht="15">
      <c r="A23" s="27" t="s">
        <v>71</v>
      </c>
      <c r="B23" s="4"/>
      <c r="C23" s="37"/>
      <c r="D23" s="4"/>
      <c r="E23" s="4"/>
      <c r="F23" s="4"/>
      <c r="G23" s="4"/>
      <c r="H23" s="25"/>
      <c r="J23">
        <f t="shared" si="0"/>
        <v>2033</v>
      </c>
      <c r="K23" s="8">
        <f t="shared" si="4"/>
        <v>18.730184929975124</v>
      </c>
      <c r="L23" s="8">
        <f t="shared" si="2"/>
        <v>6.562003996918575</v>
      </c>
      <c r="N23" s="8">
        <f t="shared" si="1"/>
        <v>-0.002491602363076075</v>
      </c>
      <c r="O23" s="9">
        <f t="shared" si="3"/>
        <v>-0.0008729174178665564</v>
      </c>
    </row>
    <row r="24" spans="1:15" ht="15">
      <c r="A24" s="24"/>
      <c r="B24" s="4" t="s">
        <v>20</v>
      </c>
      <c r="C24" s="19">
        <v>10</v>
      </c>
      <c r="D24" s="4"/>
      <c r="E24" s="4"/>
      <c r="F24" s="34">
        <v>500</v>
      </c>
      <c r="G24" s="34">
        <v>500</v>
      </c>
      <c r="H24" s="25"/>
      <c r="J24">
        <f t="shared" si="0"/>
        <v>2034</v>
      </c>
      <c r="K24" s="8">
        <f t="shared" si="4"/>
        <v>18.919076971975432</v>
      </c>
      <c r="L24" s="8">
        <f t="shared" si="2"/>
        <v>6.253001085874622</v>
      </c>
      <c r="N24" s="8">
        <f t="shared" si="1"/>
        <v>-0.002530521191987323</v>
      </c>
      <c r="O24" s="9">
        <f t="shared" si="3"/>
        <v>-0.0008363701772958791</v>
      </c>
    </row>
    <row r="25" spans="1:15" ht="15">
      <c r="A25" s="24"/>
      <c r="B25" s="4" t="s">
        <v>21</v>
      </c>
      <c r="C25" s="19" t="s">
        <v>79</v>
      </c>
      <c r="D25" s="4"/>
      <c r="E25" s="4"/>
      <c r="F25" s="36">
        <f>F24*F21/1000</f>
        <v>15.635085021601984</v>
      </c>
      <c r="G25" s="39">
        <f>G24*G21/1000</f>
        <v>22.214679692440164</v>
      </c>
      <c r="H25" s="38">
        <f>K40</f>
        <v>22.21396098055194</v>
      </c>
      <c r="I25" s="48" t="s">
        <v>19</v>
      </c>
      <c r="J25">
        <f t="shared" si="0"/>
        <v>2035</v>
      </c>
      <c r="K25" s="8">
        <f t="shared" si="4"/>
        <v>19.10987397133011</v>
      </c>
      <c r="L25" s="8">
        <f t="shared" si="2"/>
        <v>5.958549034458076</v>
      </c>
      <c r="N25" s="8">
        <f t="shared" si="1"/>
        <v>-0.002570047933006165</v>
      </c>
      <c r="O25" s="9">
        <f t="shared" si="3"/>
        <v>-0.0008013530938351328</v>
      </c>
    </row>
    <row r="26" spans="1:15" ht="15">
      <c r="A26" s="24"/>
      <c r="B26" s="26" t="s">
        <v>22</v>
      </c>
      <c r="C26" s="19" t="s">
        <v>80</v>
      </c>
      <c r="D26" s="4"/>
      <c r="E26" s="4"/>
      <c r="F26" s="20">
        <f>L41</f>
        <v>257.90720947093047</v>
      </c>
      <c r="G26" s="4"/>
      <c r="H26" s="25"/>
      <c r="I26" s="54">
        <v>0.0100849</v>
      </c>
      <c r="J26">
        <f t="shared" si="0"/>
        <v>2036</v>
      </c>
      <c r="K26" s="8">
        <f t="shared" si="4"/>
        <v>19.302595139343577</v>
      </c>
      <c r="L26" s="8">
        <f t="shared" si="2"/>
        <v>5.677962646807246</v>
      </c>
      <c r="N26" s="8">
        <f t="shared" si="1"/>
        <v>-0.0026101920817197216</v>
      </c>
      <c r="O26" s="9">
        <f t="shared" si="3"/>
        <v>-0.0007678021029819221</v>
      </c>
    </row>
    <row r="27" spans="1:15" ht="15">
      <c r="A27" s="24"/>
      <c r="B27" s="4" t="s">
        <v>44</v>
      </c>
      <c r="C27" s="19" t="s">
        <v>106</v>
      </c>
      <c r="D27" s="4"/>
      <c r="E27" s="4"/>
      <c r="F27" s="20">
        <f>H8*1.25</f>
        <v>837.625</v>
      </c>
      <c r="G27" s="4"/>
      <c r="H27" s="25"/>
      <c r="J27">
        <f t="shared" si="0"/>
        <v>2037</v>
      </c>
      <c r="K27" s="8">
        <f t="shared" si="4"/>
        <v>19.497259881064345</v>
      </c>
      <c r="L27" s="8">
        <f t="shared" si="2"/>
        <v>5.410588992739654</v>
      </c>
      <c r="N27" s="8">
        <f t="shared" si="1"/>
        <v>-0.0026509632820361836</v>
      </c>
      <c r="O27" s="9">
        <f t="shared" si="3"/>
        <v>-0.0007356558224816034</v>
      </c>
    </row>
    <row r="28" spans="1:15" ht="15">
      <c r="A28" s="24"/>
      <c r="B28" s="4" t="s">
        <v>23</v>
      </c>
      <c r="C28" s="19" t="s">
        <v>97</v>
      </c>
      <c r="D28" s="4"/>
      <c r="E28" s="4"/>
      <c r="F28" s="34">
        <f>150*1.25</f>
        <v>187.5</v>
      </c>
      <c r="G28" s="4"/>
      <c r="H28" s="25"/>
      <c r="J28">
        <f t="shared" si="0"/>
        <v>2038</v>
      </c>
      <c r="K28" s="8">
        <f t="shared" si="4"/>
        <v>19.69388779723889</v>
      </c>
      <c r="L28" s="8">
        <f t="shared" si="2"/>
        <v>5.155805888370314</v>
      </c>
      <c r="N28" s="8">
        <f t="shared" si="1"/>
        <v>-0.0026923713285015886</v>
      </c>
      <c r="O28" s="9">
        <f t="shared" si="3"/>
        <v>-0.0007048554400271377</v>
      </c>
    </row>
    <row r="29" spans="1:15" ht="15">
      <c r="A29" s="24"/>
      <c r="B29" s="45" t="s">
        <v>81</v>
      </c>
      <c r="C29" s="52" t="s">
        <v>86</v>
      </c>
      <c r="D29" s="1"/>
      <c r="E29" s="1"/>
      <c r="F29" s="18">
        <f>F$9*0.1*I29/100</f>
        <v>22.99</v>
      </c>
      <c r="G29" s="1"/>
      <c r="H29" s="25"/>
      <c r="I29">
        <v>100</v>
      </c>
      <c r="J29">
        <f t="shared" si="0"/>
        <v>2039</v>
      </c>
      <c r="K29" s="8">
        <f t="shared" si="4"/>
        <v>19.892498686285265</v>
      </c>
      <c r="L29" s="8">
        <f t="shared" si="2"/>
        <v>4.913020448277302</v>
      </c>
      <c r="N29" s="8">
        <f t="shared" si="1"/>
        <v>-0.0027344261686527834</v>
      </c>
      <c r="O29" s="9">
        <f t="shared" si="3"/>
        <v>-0.0006753446056607185</v>
      </c>
    </row>
    <row r="30" spans="1:15" ht="15">
      <c r="A30" s="24"/>
      <c r="B30" s="2" t="s">
        <v>24</v>
      </c>
      <c r="C30" s="19" t="s">
        <v>87</v>
      </c>
      <c r="D30" s="4"/>
      <c r="E30" s="4"/>
      <c r="F30" s="20">
        <f>SUM(F26:F29)</f>
        <v>1306.0222094709304</v>
      </c>
      <c r="G30" s="4"/>
      <c r="H30" s="55">
        <f>F30/F44</f>
        <v>1.0000256381308126</v>
      </c>
      <c r="J30">
        <f t="shared" si="0"/>
        <v>2040</v>
      </c>
      <c r="K30" s="8">
        <f t="shared" si="4"/>
        <v>20.093112546286584</v>
      </c>
      <c r="L30" s="8">
        <f t="shared" si="2"/>
        <v>4.68166770584541</v>
      </c>
      <c r="N30" s="8">
        <f t="shared" si="1"/>
        <v>-0.0027771379054071397</v>
      </c>
      <c r="O30" s="9">
        <f t="shared" si="3"/>
        <v>-0.0006470693286803197</v>
      </c>
    </row>
    <row r="31" spans="1:15" ht="15">
      <c r="A31" s="24"/>
      <c r="B31" s="4"/>
      <c r="C31" s="4"/>
      <c r="D31" s="4"/>
      <c r="E31" s="4"/>
      <c r="F31" s="4"/>
      <c r="G31" s="4"/>
      <c r="H31" s="25"/>
      <c r="J31">
        <f t="shared" si="0"/>
        <v>2041</v>
      </c>
      <c r="K31" s="8">
        <f t="shared" si="4"/>
        <v>20.29574957700463</v>
      </c>
      <c r="L31" s="8">
        <f t="shared" si="2"/>
        <v>4.461209298577444</v>
      </c>
      <c r="N31" s="8">
        <f t="shared" si="1"/>
        <v>-0.002820516799489599</v>
      </c>
      <c r="O31" s="9">
        <f t="shared" si="3"/>
        <v>-0.0006199778788625531</v>
      </c>
    </row>
    <row r="32" spans="1:15" ht="15">
      <c r="A32" s="27" t="s">
        <v>38</v>
      </c>
      <c r="B32" s="41"/>
      <c r="C32" s="4"/>
      <c r="D32" s="4"/>
      <c r="E32" s="4"/>
      <c r="F32" s="4"/>
      <c r="G32" s="4"/>
      <c r="H32" s="25"/>
      <c r="J32">
        <f t="shared" si="0"/>
        <v>2042</v>
      </c>
      <c r="K32" s="8">
        <f t="shared" si="4"/>
        <v>20.500430181913767</v>
      </c>
      <c r="L32" s="8">
        <f t="shared" si="2"/>
        <v>4.251132215313837</v>
      </c>
      <c r="N32" s="8">
        <f t="shared" si="1"/>
        <v>-0.0028645732718976264</v>
      </c>
      <c r="O32" s="9">
        <f t="shared" si="3"/>
        <v>-0.0005940206918211188</v>
      </c>
    </row>
    <row r="33" spans="1:15" ht="15">
      <c r="A33" s="24"/>
      <c r="B33" s="4" t="s">
        <v>47</v>
      </c>
      <c r="C33" s="19">
        <v>17</v>
      </c>
      <c r="D33" s="4">
        <f>D18-D24</f>
        <v>3120</v>
      </c>
      <c r="E33" s="4">
        <f>E18-E24</f>
        <v>3430</v>
      </c>
      <c r="F33" s="4">
        <f>F18-F24</f>
        <v>3180</v>
      </c>
      <c r="G33" s="5">
        <f>G18-G24</f>
        <v>3542.381091705955</v>
      </c>
      <c r="H33" s="25"/>
      <c r="J33">
        <f t="shared" si="0"/>
        <v>2043</v>
      </c>
      <c r="K33" s="8">
        <f t="shared" si="4"/>
        <v>20.707174970255352</v>
      </c>
      <c r="L33" s="8">
        <f t="shared" si="2"/>
        <v>4.050947602445335</v>
      </c>
      <c r="N33" s="8">
        <f t="shared" si="1"/>
        <v>-0.0029093179064046673</v>
      </c>
      <c r="O33" s="9">
        <f t="shared" si="3"/>
        <v>-0.0005691502783277026</v>
      </c>
    </row>
    <row r="34" spans="1:15" ht="15">
      <c r="A34" s="24"/>
      <c r="B34" s="4" t="s">
        <v>21</v>
      </c>
      <c r="C34" s="37" t="s">
        <v>88</v>
      </c>
      <c r="D34" s="4"/>
      <c r="E34" s="4"/>
      <c r="F34" s="36">
        <f>F33*F21/1000</f>
        <v>99.43914073738861</v>
      </c>
      <c r="G34" s="36">
        <f>G33*G21/1000</f>
        <v>157.38572260160862</v>
      </c>
      <c r="H34" s="25"/>
      <c r="J34">
        <f t="shared" si="0"/>
        <v>2044</v>
      </c>
      <c r="K34" s="8">
        <f t="shared" si="4"/>
        <v>20.91600475911288</v>
      </c>
      <c r="L34" s="8">
        <f t="shared" si="2"/>
        <v>3.8601896263407887</v>
      </c>
      <c r="N34" s="8">
        <f t="shared" si="1"/>
        <v>-0.002954761452102708</v>
      </c>
      <c r="O34" s="9">
        <f t="shared" si="3"/>
        <v>-0.0005453211374294162</v>
      </c>
    </row>
    <row r="35" spans="1:15" ht="15">
      <c r="A35" s="24"/>
      <c r="B35" s="1" t="s">
        <v>32</v>
      </c>
      <c r="C35" s="14">
        <v>19</v>
      </c>
      <c r="D35" s="1"/>
      <c r="E35" s="1"/>
      <c r="F35" s="10">
        <f>Base!F30</f>
        <v>99.44102575899059</v>
      </c>
      <c r="G35" s="10">
        <f>Base!G30</f>
        <v>155.20111574117826</v>
      </c>
      <c r="H35" s="25"/>
      <c r="J35">
        <f t="shared" si="0"/>
        <v>2045</v>
      </c>
      <c r="K35" s="8">
        <f t="shared" si="4"/>
        <v>21.12694057550806</v>
      </c>
      <c r="L35" s="8">
        <f t="shared" si="2"/>
        <v>3.6784143893428993</v>
      </c>
      <c r="N35" s="8">
        <f t="shared" si="1"/>
        <v>-0.003000914825984552</v>
      </c>
      <c r="O35" s="9">
        <f t="shared" si="3"/>
        <v>-0.0005224896732038336</v>
      </c>
    </row>
    <row r="36" spans="1:15" ht="15">
      <c r="A36" s="24"/>
      <c r="B36" s="4" t="s">
        <v>33</v>
      </c>
      <c r="C36" s="19" t="s">
        <v>89</v>
      </c>
      <c r="D36" s="4"/>
      <c r="E36" s="4"/>
      <c r="F36" s="39">
        <f>F34-F35</f>
        <v>-0.0018850216019785648</v>
      </c>
      <c r="G36" s="39">
        <f>G34-G35</f>
        <v>2.184606860430364</v>
      </c>
      <c r="H36" s="25"/>
      <c r="J36">
        <f t="shared" si="0"/>
        <v>2046</v>
      </c>
      <c r="K36" s="8">
        <f t="shared" si="4"/>
        <v>21.340003658518</v>
      </c>
      <c r="L36" s="8">
        <f t="shared" si="2"/>
        <v>3.5051988968094174</v>
      </c>
      <c r="N36" s="8">
        <f t="shared" si="1"/>
        <v>-0.0030477891155664305</v>
      </c>
      <c r="O36" s="9">
        <f t="shared" si="3"/>
        <v>-0.0005006141149993183</v>
      </c>
    </row>
    <row r="37" spans="1:15" ht="15">
      <c r="A37" s="24"/>
      <c r="B37" s="4" t="s">
        <v>34</v>
      </c>
      <c r="C37" s="19" t="s">
        <v>90</v>
      </c>
      <c r="D37" s="4"/>
      <c r="E37" s="4"/>
      <c r="F37" s="20">
        <f>O41</f>
        <v>-0.03348310980620383</v>
      </c>
      <c r="G37" s="4"/>
      <c r="H37" s="25"/>
      <c r="I37">
        <f>100-I29</f>
        <v>0</v>
      </c>
      <c r="J37">
        <f t="shared" si="0"/>
        <v>2047</v>
      </c>
      <c r="K37" s="8">
        <f t="shared" si="4"/>
        <v>21.55521546141379</v>
      </c>
      <c r="L37" s="8">
        <f t="shared" si="2"/>
        <v>3.340140072796087</v>
      </c>
      <c r="N37" s="8">
        <f t="shared" si="1"/>
        <v>-0.003095395581551578</v>
      </c>
      <c r="O37" s="9">
        <f t="shared" si="3"/>
        <v>-0.00047965444101472424</v>
      </c>
    </row>
    <row r="38" spans="1:15" ht="15">
      <c r="A38" s="24"/>
      <c r="B38" s="45" t="s">
        <v>81</v>
      </c>
      <c r="C38" s="50" t="s">
        <v>92</v>
      </c>
      <c r="D38" s="1"/>
      <c r="E38" s="1"/>
      <c r="F38" s="18">
        <f>F$9*0.1*I37/100</f>
        <v>0</v>
      </c>
      <c r="G38" s="1"/>
      <c r="H38" s="25"/>
      <c r="J38">
        <f t="shared" si="0"/>
        <v>2048</v>
      </c>
      <c r="K38" s="8">
        <f t="shared" si="4"/>
        <v>21.772597653820604</v>
      </c>
      <c r="L38" s="8">
        <f t="shared" si="2"/>
        <v>3.1828538220907814</v>
      </c>
      <c r="N38" s="8">
        <f t="shared" si="1"/>
        <v>-0.0031437456605354136</v>
      </c>
      <c r="O38" s="9">
        <f t="shared" si="3"/>
        <v>-0.00045957230507865494</v>
      </c>
    </row>
    <row r="39" spans="1:15" ht="15">
      <c r="A39" s="24"/>
      <c r="B39" s="2" t="s">
        <v>82</v>
      </c>
      <c r="C39" s="19" t="s">
        <v>91</v>
      </c>
      <c r="D39" s="4"/>
      <c r="E39" s="4"/>
      <c r="F39" s="20">
        <f>SUM(F37:F38)</f>
        <v>-0.03348310980620383</v>
      </c>
      <c r="G39" s="4"/>
      <c r="H39" s="55">
        <f>F39/F44</f>
        <v>-2.5638130812581976E-05</v>
      </c>
      <c r="J39">
        <f t="shared" si="0"/>
        <v>2049</v>
      </c>
      <c r="K39" s="8">
        <f t="shared" si="4"/>
        <v>21.99217212389962</v>
      </c>
      <c r="L39" s="8">
        <f t="shared" si="2"/>
        <v>3.0329741364162115</v>
      </c>
      <c r="N39" s="8">
        <f t="shared" si="1"/>
        <v>-0.003192850967752977</v>
      </c>
      <c r="O39" s="9">
        <f t="shared" si="3"/>
        <v>-0.00044033096649432403</v>
      </c>
    </row>
    <row r="40" spans="1:15" ht="15">
      <c r="A40" s="24"/>
      <c r="B40" s="4"/>
      <c r="C40" s="4"/>
      <c r="D40" s="4"/>
      <c r="E40" s="4"/>
      <c r="F40" s="4"/>
      <c r="G40" s="4"/>
      <c r="H40" s="25"/>
      <c r="J40">
        <f t="shared" si="0"/>
        <v>2050</v>
      </c>
      <c r="K40" s="8">
        <f t="shared" si="4"/>
        <v>22.21396098055194</v>
      </c>
      <c r="L40" s="8">
        <f t="shared" si="2"/>
        <v>2.8901522427212787</v>
      </c>
      <c r="N40" s="8">
        <f t="shared" si="1"/>
        <v>-0.003242723299869278</v>
      </c>
      <c r="O40" s="9">
        <f t="shared" si="3"/>
        <v>-0.00042189522282166535</v>
      </c>
    </row>
    <row r="41" spans="1:15" ht="15">
      <c r="A41" s="24"/>
      <c r="B41" s="4" t="s">
        <v>61</v>
      </c>
      <c r="C41" s="19">
        <v>24</v>
      </c>
      <c r="D41" s="4"/>
      <c r="E41" s="4"/>
      <c r="F41" s="4">
        <v>1313</v>
      </c>
      <c r="G41" s="4"/>
      <c r="H41" s="25"/>
      <c r="K41" s="8" t="s">
        <v>29</v>
      </c>
      <c r="L41" s="8">
        <f>SUM(L6:L40)</f>
        <v>257.90720947093047</v>
      </c>
      <c r="O41" s="8">
        <f>SUM(O6:O40)</f>
        <v>-0.03348310980620383</v>
      </c>
    </row>
    <row r="42" spans="1:14" ht="15">
      <c r="A42" s="24"/>
      <c r="B42" s="4" t="s">
        <v>63</v>
      </c>
      <c r="C42" s="19" t="s">
        <v>94</v>
      </c>
      <c r="D42" s="4"/>
      <c r="E42" s="4"/>
      <c r="F42" s="5">
        <f>F30-F29+F37</f>
        <v>1282.9987263611242</v>
      </c>
      <c r="G42" s="51">
        <f>F42/F41</f>
        <v>0.977150591287985</v>
      </c>
      <c r="H42" s="25"/>
      <c r="N42" s="43">
        <v>0.01562</v>
      </c>
    </row>
    <row r="43" spans="1:8" ht="15">
      <c r="A43" s="24"/>
      <c r="B43" s="45" t="s">
        <v>83</v>
      </c>
      <c r="C43" s="14" t="s">
        <v>96</v>
      </c>
      <c r="D43" s="1"/>
      <c r="E43" s="1"/>
      <c r="F43" s="1">
        <f>0.1*F9</f>
        <v>22.99</v>
      </c>
      <c r="G43" s="56"/>
      <c r="H43" s="25"/>
    </row>
    <row r="44" spans="1:8" ht="15">
      <c r="A44" s="28"/>
      <c r="B44" s="45" t="s">
        <v>93</v>
      </c>
      <c r="C44" s="52" t="s">
        <v>95</v>
      </c>
      <c r="D44" s="1"/>
      <c r="E44" s="1"/>
      <c r="F44" s="6">
        <f>SUM(F42:F43)</f>
        <v>1305.9887263611242</v>
      </c>
      <c r="G44" s="46">
        <f>F44/F41</f>
        <v>0.9946601114707725</v>
      </c>
      <c r="H44" s="29"/>
    </row>
    <row r="45" spans="2:6" ht="15">
      <c r="B45" s="2"/>
      <c r="C45" s="15"/>
      <c r="F45" s="42"/>
    </row>
  </sheetData>
  <sheetProtection/>
  <printOptions/>
  <pageMargins left="0.7" right="0.7" top="0.75" bottom="0.75" header="0.3" footer="0.3"/>
  <pageSetup horizontalDpi="600" verticalDpi="600" orientation="landscape" paperSize="1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50"/>
  <sheetViews>
    <sheetView zoomScalePageLayoutView="0" workbookViewId="0" topLeftCell="A31">
      <selection activeCell="D59" sqref="D59"/>
    </sheetView>
  </sheetViews>
  <sheetFormatPr defaultColWidth="9.140625" defaultRowHeight="15"/>
  <cols>
    <col min="1" max="1" width="4.00390625" style="0" customWidth="1"/>
    <col min="2" max="2" width="28.00390625" style="0" customWidth="1"/>
    <col min="3" max="3" width="12.140625" style="0" customWidth="1"/>
  </cols>
  <sheetData>
    <row r="1" spans="1:8" ht="18.75">
      <c r="A1" s="21"/>
      <c r="B1" s="22"/>
      <c r="C1" s="30" t="s">
        <v>45</v>
      </c>
      <c r="D1" s="22"/>
      <c r="E1" s="22"/>
      <c r="F1" s="22"/>
      <c r="G1" s="22"/>
      <c r="H1" s="23"/>
    </row>
    <row r="2" spans="1:10" ht="18.75">
      <c r="A2" s="24"/>
      <c r="B2" s="31" t="s">
        <v>60</v>
      </c>
      <c r="C2" s="4"/>
      <c r="D2" s="4"/>
      <c r="E2" s="4"/>
      <c r="F2" s="4"/>
      <c r="G2" s="4"/>
      <c r="H2" s="25"/>
      <c r="J2" s="12">
        <f>'HQ500'!J2</f>
        <v>0.0128</v>
      </c>
    </row>
    <row r="3" spans="1:14" ht="15">
      <c r="A3" s="24"/>
      <c r="B3" s="4"/>
      <c r="C3" s="4"/>
      <c r="D3" s="4"/>
      <c r="E3" s="4"/>
      <c r="F3" s="4"/>
      <c r="G3" s="4"/>
      <c r="H3" s="25"/>
      <c r="K3" t="s">
        <v>35</v>
      </c>
      <c r="N3" t="s">
        <v>36</v>
      </c>
    </row>
    <row r="4" spans="1:19" ht="15">
      <c r="A4" s="24"/>
      <c r="B4" s="4"/>
      <c r="C4" s="4"/>
      <c r="D4" s="4" t="s">
        <v>0</v>
      </c>
      <c r="E4" s="4" t="s">
        <v>1</v>
      </c>
      <c r="F4" s="4" t="s">
        <v>6</v>
      </c>
      <c r="G4" s="4" t="s">
        <v>7</v>
      </c>
      <c r="H4" s="25"/>
      <c r="K4" s="11" t="s">
        <v>28</v>
      </c>
      <c r="L4" s="11">
        <v>2015</v>
      </c>
      <c r="S4">
        <v>0.105</v>
      </c>
    </row>
    <row r="5" spans="1:19" ht="15">
      <c r="A5" s="27" t="s">
        <v>14</v>
      </c>
      <c r="B5" s="4"/>
      <c r="C5" s="4"/>
      <c r="D5" s="4"/>
      <c r="E5" s="4"/>
      <c r="F5" s="4"/>
      <c r="G5" s="4"/>
      <c r="H5" s="25"/>
      <c r="J5">
        <v>2015</v>
      </c>
      <c r="K5" s="8">
        <f>F25</f>
        <v>19.516443717254155</v>
      </c>
      <c r="L5" s="8"/>
      <c r="N5" s="8">
        <f>F36</f>
        <v>24.68355628274584</v>
      </c>
      <c r="Q5">
        <v>2016</v>
      </c>
      <c r="R5">
        <v>81</v>
      </c>
      <c r="S5" s="3">
        <f>R5/S$4</f>
        <v>771.4285714285714</v>
      </c>
    </row>
    <row r="6" spans="1:19" ht="15">
      <c r="A6" s="24"/>
      <c r="B6" s="4" t="s">
        <v>15</v>
      </c>
      <c r="C6" s="4"/>
      <c r="D6" s="32" t="s">
        <v>16</v>
      </c>
      <c r="E6" s="32" t="s">
        <v>18</v>
      </c>
      <c r="F6" s="32" t="s">
        <v>17</v>
      </c>
      <c r="G6" s="4"/>
      <c r="H6" s="33" t="s">
        <v>40</v>
      </c>
      <c r="J6">
        <f aca="true" t="shared" si="0" ref="J6:J50">J5+1</f>
        <v>2016</v>
      </c>
      <c r="K6" s="8">
        <f>K5*(1+$I$26)</f>
        <v>19.71355979879842</v>
      </c>
      <c r="L6" s="8">
        <f>K6/(1.06^($J6-$J$5))</f>
        <v>18.597697923394737</v>
      </c>
      <c r="N6" s="8">
        <f aca="true" t="shared" si="1" ref="N6:N40">N5*(1+$N$42)</f>
        <v>25.048872915730477</v>
      </c>
      <c r="O6" s="9">
        <f>N6/(1.06^(J6-J$5))</f>
        <v>23.631012184651393</v>
      </c>
      <c r="Q6">
        <v>2050</v>
      </c>
      <c r="R6" s="3">
        <f>R5*1.02^35</f>
        <v>161.99105376565882</v>
      </c>
      <c r="S6" s="3">
        <f>(R6/S$4)/(1.075^35)</f>
        <v>122.74547268318706</v>
      </c>
    </row>
    <row r="7" spans="1:19" ht="15">
      <c r="A7" s="24"/>
      <c r="B7" s="4" t="s">
        <v>41</v>
      </c>
      <c r="C7" s="19">
        <v>1</v>
      </c>
      <c r="D7" s="4"/>
      <c r="E7" s="4">
        <v>75</v>
      </c>
      <c r="F7" s="34">
        <v>800</v>
      </c>
      <c r="G7" s="4"/>
      <c r="H7" s="25"/>
      <c r="J7">
        <f t="shared" si="0"/>
        <v>2017</v>
      </c>
      <c r="K7" s="8">
        <f aca="true" t="shared" si="2" ref="K7:K40">K6*(1+I$26)</f>
        <v>19.912666752766285</v>
      </c>
      <c r="L7" s="8">
        <f aca="true" t="shared" si="3" ref="L7:L40">K7/(1.06^(J7-J$5))</f>
        <v>17.722202521151907</v>
      </c>
      <c r="N7" s="8">
        <f t="shared" si="1"/>
        <v>25.419596234883286</v>
      </c>
      <c r="O7" s="9">
        <f aca="true" t="shared" si="4" ref="O7:O40">N7/(1.06^(J7-J$5))</f>
        <v>22.6233501556455</v>
      </c>
      <c r="S7" s="3">
        <f>S5-S6</f>
        <v>648.6830987453844</v>
      </c>
    </row>
    <row r="8" spans="1:15" ht="15">
      <c r="A8" s="24"/>
      <c r="B8" s="1" t="s">
        <v>42</v>
      </c>
      <c r="C8" s="14">
        <v>2</v>
      </c>
      <c r="D8" s="1"/>
      <c r="E8" s="1"/>
      <c r="F8" s="1">
        <v>150</v>
      </c>
      <c r="G8" s="1"/>
      <c r="H8" s="35">
        <v>0</v>
      </c>
      <c r="J8">
        <f t="shared" si="0"/>
        <v>2018</v>
      </c>
      <c r="K8" s="8">
        <f t="shared" si="2"/>
        <v>20.113784686969225</v>
      </c>
      <c r="L8" s="8">
        <f t="shared" si="3"/>
        <v>16.887921477939187</v>
      </c>
      <c r="N8" s="8">
        <f t="shared" si="1"/>
        <v>25.79580625915956</v>
      </c>
      <c r="O8" s="9">
        <f t="shared" si="4"/>
        <v>21.658656356555706</v>
      </c>
    </row>
    <row r="9" spans="1:19" ht="15">
      <c r="A9" s="24"/>
      <c r="B9" s="2" t="s">
        <v>43</v>
      </c>
      <c r="C9" s="19" t="s">
        <v>78</v>
      </c>
      <c r="D9" s="4"/>
      <c r="E9" s="4">
        <f>E7</f>
        <v>75</v>
      </c>
      <c r="F9" s="34">
        <f>F7-F8-H8</f>
        <v>650</v>
      </c>
      <c r="G9" s="4"/>
      <c r="H9" s="25"/>
      <c r="J9">
        <f t="shared" si="0"/>
        <v>2019</v>
      </c>
      <c r="K9" s="8">
        <f t="shared" si="2"/>
        <v>20.316933912307615</v>
      </c>
      <c r="L9" s="8">
        <f t="shared" si="3"/>
        <v>16.092914608364506</v>
      </c>
      <c r="N9" s="8">
        <f t="shared" si="1"/>
        <v>26.17758419179512</v>
      </c>
      <c r="O9" s="9">
        <f t="shared" si="4"/>
        <v>20.73509855720069</v>
      </c>
      <c r="R9">
        <v>60</v>
      </c>
      <c r="S9">
        <v>0.075</v>
      </c>
    </row>
    <row r="10" spans="1:19" ht="15">
      <c r="A10" s="24"/>
      <c r="B10" s="4"/>
      <c r="C10" s="19"/>
      <c r="D10" s="4"/>
      <c r="E10" s="4"/>
      <c r="F10" s="4"/>
      <c r="G10" s="4"/>
      <c r="H10" s="25"/>
      <c r="J10">
        <f t="shared" si="0"/>
        <v>2020</v>
      </c>
      <c r="K10" s="8">
        <f t="shared" si="2"/>
        <v>20.52213494482192</v>
      </c>
      <c r="L10" s="8">
        <f t="shared" si="3"/>
        <v>15.335333062178286</v>
      </c>
      <c r="N10" s="8">
        <f t="shared" si="1"/>
        <v>26.565012437833687</v>
      </c>
      <c r="O10" s="9">
        <f t="shared" si="4"/>
        <v>19.850922656459677</v>
      </c>
      <c r="R10">
        <v>40</v>
      </c>
      <c r="S10">
        <v>0.105</v>
      </c>
    </row>
    <row r="11" spans="1:15" ht="15">
      <c r="A11" s="27" t="s">
        <v>8</v>
      </c>
      <c r="B11" s="4"/>
      <c r="C11" s="4"/>
      <c r="D11" s="4"/>
      <c r="E11" s="4"/>
      <c r="F11" s="4"/>
      <c r="G11" s="4"/>
      <c r="H11" s="25"/>
      <c r="J11">
        <f t="shared" si="0"/>
        <v>2021</v>
      </c>
      <c r="K11" s="8">
        <f t="shared" si="2"/>
        <v>20.729408507764624</v>
      </c>
      <c r="L11" s="8">
        <f t="shared" si="3"/>
        <v>14.613415024628573</v>
      </c>
      <c r="N11" s="8">
        <f t="shared" si="1"/>
        <v>26.958174621913624</v>
      </c>
      <c r="O11" s="9">
        <f t="shared" si="4"/>
        <v>19.004449350731395</v>
      </c>
    </row>
    <row r="12" spans="1:15" ht="15">
      <c r="A12" s="24"/>
      <c r="B12" s="4" t="s">
        <v>75</v>
      </c>
      <c r="C12" s="19">
        <v>4</v>
      </c>
      <c r="D12" s="36">
        <v>80.5</v>
      </c>
      <c r="E12" s="36">
        <f>D12*1.013^5+E$9*0.068</f>
        <v>90.97032511069155</v>
      </c>
      <c r="F12" s="36">
        <f>E12*(1+J2)^7+F$9*0.068</f>
        <v>143.6410257589906</v>
      </c>
      <c r="G12" s="36">
        <f>F12*(1+J2)^35+G$9*0.068</f>
        <v>224.18561447700176</v>
      </c>
      <c r="H12" s="25"/>
      <c r="J12">
        <f t="shared" si="0"/>
        <v>2022</v>
      </c>
      <c r="K12" s="8">
        <f t="shared" si="2"/>
        <v>20.938775533693047</v>
      </c>
      <c r="L12" s="8">
        <f t="shared" si="3"/>
        <v>13.925481619223886</v>
      </c>
      <c r="N12" s="8">
        <f t="shared" si="1"/>
        <v>27.357155606317942</v>
      </c>
      <c r="O12" s="9">
        <f t="shared" si="4"/>
        <v>18.194070944454918</v>
      </c>
    </row>
    <row r="13" spans="1:15" ht="15">
      <c r="A13" s="24"/>
      <c r="B13" s="47"/>
      <c r="C13" s="4"/>
      <c r="D13" s="4"/>
      <c r="E13" s="4"/>
      <c r="F13" s="4"/>
      <c r="G13" s="4"/>
      <c r="H13" s="25"/>
      <c r="J13">
        <f t="shared" si="0"/>
        <v>2023</v>
      </c>
      <c r="K13" s="8">
        <f t="shared" si="2"/>
        <v>21.150257166583348</v>
      </c>
      <c r="L13" s="8">
        <f t="shared" si="3"/>
        <v>13.269933003375519</v>
      </c>
      <c r="N13" s="8">
        <f t="shared" si="1"/>
        <v>27.762041509291446</v>
      </c>
      <c r="O13" s="9">
        <f t="shared" si="4"/>
        <v>17.418248296634765</v>
      </c>
    </row>
    <row r="14" spans="1:15" ht="15">
      <c r="A14" s="27" t="s">
        <v>9</v>
      </c>
      <c r="B14" s="4"/>
      <c r="C14" s="37"/>
      <c r="D14" s="4"/>
      <c r="E14" s="4"/>
      <c r="F14" s="4"/>
      <c r="G14" s="4"/>
      <c r="H14" s="25"/>
      <c r="J14">
        <f t="shared" si="0"/>
        <v>2024</v>
      </c>
      <c r="K14" s="8">
        <f t="shared" si="2"/>
        <v>21.36387476396584</v>
      </c>
      <c r="L14" s="8">
        <f t="shared" si="3"/>
        <v>12.645244647839256</v>
      </c>
      <c r="N14" s="8">
        <f t="shared" si="1"/>
        <v>28.172919723628958</v>
      </c>
      <c r="O14" s="9">
        <f t="shared" si="4"/>
        <v>16.675507897570718</v>
      </c>
    </row>
    <row r="15" spans="1:15" ht="15">
      <c r="A15" s="24"/>
      <c r="B15" s="4" t="s">
        <v>5</v>
      </c>
      <c r="C15" s="19">
        <v>5</v>
      </c>
      <c r="D15" s="4">
        <v>2100</v>
      </c>
      <c r="E15" s="4">
        <v>2100</v>
      </c>
      <c r="F15" s="4">
        <v>1900</v>
      </c>
      <c r="G15" s="5">
        <f>F15*1.005^35</f>
        <v>2262.381091705955</v>
      </c>
      <c r="H15" s="25"/>
      <c r="J15">
        <f t="shared" si="0"/>
        <v>2025</v>
      </c>
      <c r="K15" s="8">
        <f t="shared" si="2"/>
        <v>21.579649899081893</v>
      </c>
      <c r="L15" s="8">
        <f t="shared" si="3"/>
        <v>12.04996379130418</v>
      </c>
      <c r="N15" s="8">
        <f t="shared" si="1"/>
        <v>28.589878935538664</v>
      </c>
      <c r="O15" s="9">
        <f t="shared" si="4"/>
        <v>15.96443907024034</v>
      </c>
    </row>
    <row r="16" spans="1:15" ht="15">
      <c r="A16" s="24"/>
      <c r="B16" s="4" t="s">
        <v>2</v>
      </c>
      <c r="C16" s="19">
        <v>6</v>
      </c>
      <c r="D16" s="4">
        <v>720</v>
      </c>
      <c r="E16" s="4">
        <v>1080</v>
      </c>
      <c r="F16" s="4">
        <v>1580</v>
      </c>
      <c r="G16" s="4">
        <v>1580</v>
      </c>
      <c r="H16" s="25"/>
      <c r="J16">
        <f t="shared" si="0"/>
        <v>2026</v>
      </c>
      <c r="K16" s="8">
        <f t="shared" si="2"/>
        <v>21.79760436306262</v>
      </c>
      <c r="L16" s="8">
        <f t="shared" si="3"/>
        <v>11.48270606188335</v>
      </c>
      <c r="N16" s="8">
        <f t="shared" si="1"/>
        <v>29.013009143784632</v>
      </c>
      <c r="O16" s="9">
        <f t="shared" si="4"/>
        <v>15.283691291018766</v>
      </c>
    </row>
    <row r="17" spans="1:15" ht="15">
      <c r="A17" s="24"/>
      <c r="B17" s="1" t="s">
        <v>3</v>
      </c>
      <c r="C17" s="14">
        <v>7</v>
      </c>
      <c r="D17" s="1">
        <v>300</v>
      </c>
      <c r="E17" s="1">
        <v>250</v>
      </c>
      <c r="F17" s="1">
        <v>200</v>
      </c>
      <c r="G17" s="1">
        <v>200</v>
      </c>
      <c r="H17" s="25"/>
      <c r="J17">
        <f t="shared" si="0"/>
        <v>2027</v>
      </c>
      <c r="K17" s="8">
        <f t="shared" si="2"/>
        <v>22.017760167129556</v>
      </c>
      <c r="L17" s="8">
        <f t="shared" si="3"/>
        <v>10.942152257649408</v>
      </c>
      <c r="N17" s="8">
        <f t="shared" si="1"/>
        <v>29.442401679112642</v>
      </c>
      <c r="O17" s="9">
        <f t="shared" si="4"/>
        <v>14.63197162464702</v>
      </c>
    </row>
    <row r="18" spans="1:15" ht="15">
      <c r="A18" s="24"/>
      <c r="B18" s="2" t="s">
        <v>4</v>
      </c>
      <c r="C18" s="15" t="s">
        <v>12</v>
      </c>
      <c r="D18" s="4">
        <f>SUM(D15:D17)</f>
        <v>3120</v>
      </c>
      <c r="E18" s="4">
        <f>SUM(E15:E17)</f>
        <v>3430</v>
      </c>
      <c r="F18" s="4">
        <f>SUM(F15:F17)</f>
        <v>3680</v>
      </c>
      <c r="G18" s="5">
        <f>SUM(G15:G17)</f>
        <v>4042.381091705955</v>
      </c>
      <c r="H18" s="25"/>
      <c r="J18">
        <f t="shared" si="0"/>
        <v>2028</v>
      </c>
      <c r="K18" s="8">
        <f t="shared" si="2"/>
        <v>22.240139544817563</v>
      </c>
      <c r="L18" s="8">
        <f t="shared" si="3"/>
        <v>10.427045278727986</v>
      </c>
      <c r="N18" s="8">
        <f t="shared" si="1"/>
        <v>29.878149223963508</v>
      </c>
      <c r="O18" s="9">
        <f t="shared" si="4"/>
        <v>14.008042268577164</v>
      </c>
    </row>
    <row r="19" spans="1:15" ht="15">
      <c r="A19" s="24"/>
      <c r="B19" s="4"/>
      <c r="C19" s="4"/>
      <c r="D19" s="4"/>
      <c r="E19" s="4"/>
      <c r="F19" s="4"/>
      <c r="G19" s="4"/>
      <c r="H19" s="25"/>
      <c r="J19">
        <f t="shared" si="0"/>
        <v>2029</v>
      </c>
      <c r="K19" s="8">
        <f t="shared" si="2"/>
        <v>22.46476495422022</v>
      </c>
      <c r="L19" s="8">
        <f t="shared" si="3"/>
        <v>9.936187203814283</v>
      </c>
      <c r="N19" s="8">
        <f t="shared" si="1"/>
        <v>30.320345832478164</v>
      </c>
      <c r="O19" s="9">
        <f t="shared" si="4"/>
        <v>13.410718202030289</v>
      </c>
    </row>
    <row r="20" spans="1:15" ht="15">
      <c r="A20" s="27" t="s">
        <v>77</v>
      </c>
      <c r="B20" s="4"/>
      <c r="C20" s="4"/>
      <c r="D20" s="4"/>
      <c r="E20" s="4"/>
      <c r="F20" s="4"/>
      <c r="G20" s="4"/>
      <c r="H20" s="25"/>
      <c r="J20">
        <f t="shared" si="0"/>
        <v>2030</v>
      </c>
      <c r="K20" s="8">
        <f t="shared" si="2"/>
        <v>22.691659080257846</v>
      </c>
      <c r="L20" s="8">
        <f t="shared" si="3"/>
        <v>9.468436504313965</v>
      </c>
      <c r="N20" s="8">
        <f t="shared" si="1"/>
        <v>30.76908695079884</v>
      </c>
      <c r="O20" s="9">
        <f t="shared" si="4"/>
        <v>12.8388649353022</v>
      </c>
    </row>
    <row r="21" spans="1:15" ht="15">
      <c r="A21" s="24"/>
      <c r="B21" s="4" t="s">
        <v>74</v>
      </c>
      <c r="C21" s="19" t="s">
        <v>13</v>
      </c>
      <c r="D21" s="36">
        <f>D12/D18*1000</f>
        <v>25.80128205128205</v>
      </c>
      <c r="E21" s="36">
        <f>E12/E18*1000</f>
        <v>26.521960673671003</v>
      </c>
      <c r="F21" s="36">
        <f>F12/F18*1000</f>
        <v>39.03288743450831</v>
      </c>
      <c r="G21" s="36">
        <f>G12/G18*1000</f>
        <v>55.45880247089508</v>
      </c>
      <c r="H21" s="25"/>
      <c r="J21">
        <f t="shared" si="0"/>
        <v>2031</v>
      </c>
      <c r="K21" s="8">
        <f t="shared" si="2"/>
        <v>22.92084483696845</v>
      </c>
      <c r="L21" s="8">
        <f t="shared" si="3"/>
        <v>9.022705389629754</v>
      </c>
      <c r="N21" s="8">
        <f t="shared" si="1"/>
        <v>31.22446943767066</v>
      </c>
      <c r="O21" s="9">
        <f t="shared" si="4"/>
        <v>12.291396355042146</v>
      </c>
    </row>
    <row r="22" spans="1:15" ht="15">
      <c r="A22" s="24"/>
      <c r="B22" s="4"/>
      <c r="C22" s="4"/>
      <c r="D22" s="4"/>
      <c r="E22" s="4"/>
      <c r="F22" s="4"/>
      <c r="G22" s="4"/>
      <c r="H22" s="25"/>
      <c r="J22">
        <f t="shared" si="0"/>
        <v>2032</v>
      </c>
      <c r="K22" s="8">
        <f t="shared" si="2"/>
        <v>23.15234536982183</v>
      </c>
      <c r="L22" s="8">
        <f t="shared" si="3"/>
        <v>8.597957277419823</v>
      </c>
      <c r="N22" s="8">
        <f t="shared" si="1"/>
        <v>31.686591585348182</v>
      </c>
      <c r="O22" s="9">
        <f t="shared" si="4"/>
        <v>11.767272661412044</v>
      </c>
    </row>
    <row r="23" spans="1:15" ht="15">
      <c r="A23" s="27" t="s">
        <v>71</v>
      </c>
      <c r="B23" s="4"/>
      <c r="C23" s="37"/>
      <c r="D23" s="4"/>
      <c r="E23" s="4"/>
      <c r="F23" s="4"/>
      <c r="G23" s="4"/>
      <c r="H23" s="25"/>
      <c r="J23">
        <f t="shared" si="0"/>
        <v>2033</v>
      </c>
      <c r="K23" s="8">
        <f t="shared" si="2"/>
        <v>23.38618405805703</v>
      </c>
      <c r="L23" s="8">
        <f t="shared" si="3"/>
        <v>8.19320438294506</v>
      </c>
      <c r="N23" s="8">
        <f t="shared" si="1"/>
        <v>32.155553140811335</v>
      </c>
      <c r="O23" s="9">
        <f t="shared" si="4"/>
        <v>11.265498393208437</v>
      </c>
    </row>
    <row r="24" spans="1:15" ht="15">
      <c r="A24" s="24"/>
      <c r="B24" s="4" t="s">
        <v>20</v>
      </c>
      <c r="C24" s="19">
        <v>10</v>
      </c>
      <c r="D24" s="4"/>
      <c r="E24" s="4"/>
      <c r="F24" s="34">
        <v>500</v>
      </c>
      <c r="G24" s="34">
        <v>500</v>
      </c>
      <c r="H24" s="25"/>
      <c r="J24">
        <f t="shared" si="0"/>
        <v>2034</v>
      </c>
      <c r="K24" s="8">
        <f t="shared" si="2"/>
        <v>23.622384517043404</v>
      </c>
      <c r="L24" s="8">
        <f t="shared" si="3"/>
        <v>7.807505421898871</v>
      </c>
      <c r="N24" s="8">
        <f t="shared" si="1"/>
        <v>32.63145532729534</v>
      </c>
      <c r="O24" s="9">
        <f t="shared" si="4"/>
        <v>10.78512053719615</v>
      </c>
    </row>
    <row r="25" spans="1:15" ht="15">
      <c r="A25" s="24"/>
      <c r="B25" s="4" t="s">
        <v>21</v>
      </c>
      <c r="C25" s="19" t="s">
        <v>79</v>
      </c>
      <c r="D25" s="4"/>
      <c r="E25" s="4"/>
      <c r="F25" s="36">
        <f>F24*F21/1000</f>
        <v>19.516443717254155</v>
      </c>
      <c r="G25" s="39">
        <f>G24*G21/1000</f>
        <v>27.729401235447543</v>
      </c>
      <c r="H25" s="38">
        <f>K40</f>
        <v>27.74301599402945</v>
      </c>
      <c r="I25" s="48" t="s">
        <v>19</v>
      </c>
      <c r="J25">
        <f t="shared" si="0"/>
        <v>2035</v>
      </c>
      <c r="K25" s="8">
        <f t="shared" si="2"/>
        <v>23.860970600665542</v>
      </c>
      <c r="L25" s="8">
        <f t="shared" si="3"/>
        <v>7.4399634213774055</v>
      </c>
      <c r="N25" s="8">
        <f t="shared" si="1"/>
        <v>33.11440086613931</v>
      </c>
      <c r="O25" s="9">
        <f t="shared" si="4"/>
        <v>10.325226718062881</v>
      </c>
    </row>
    <row r="26" spans="1:15" ht="15">
      <c r="A26" s="24"/>
      <c r="B26" s="26" t="s">
        <v>22</v>
      </c>
      <c r="C26" s="19" t="s">
        <v>80</v>
      </c>
      <c r="D26" s="4"/>
      <c r="E26" s="4"/>
      <c r="F26" s="20">
        <f>L41</f>
        <v>321.99584336489966</v>
      </c>
      <c r="G26" s="4"/>
      <c r="H26" s="25"/>
      <c r="I26" s="49">
        <v>0.0101</v>
      </c>
      <c r="J26">
        <f t="shared" si="0"/>
        <v>2036</v>
      </c>
      <c r="K26" s="8">
        <f t="shared" si="2"/>
        <v>24.101966403732263</v>
      </c>
      <c r="L26" s="8">
        <f t="shared" si="3"/>
        <v>7.089723633899355</v>
      </c>
      <c r="N26" s="8">
        <f t="shared" si="1"/>
        <v>33.60449399895817</v>
      </c>
      <c r="O26" s="9">
        <f t="shared" si="4"/>
        <v>9.8849434655568</v>
      </c>
    </row>
    <row r="27" spans="1:15" ht="15">
      <c r="A27" s="24"/>
      <c r="B27" s="4" t="s">
        <v>44</v>
      </c>
      <c r="C27" s="19" t="s">
        <v>106</v>
      </c>
      <c r="D27" s="4"/>
      <c r="E27" s="4"/>
      <c r="F27" s="20">
        <f>H8*1.25</f>
        <v>0</v>
      </c>
      <c r="G27" s="4"/>
      <c r="H27" s="25"/>
      <c r="J27">
        <f t="shared" si="0"/>
        <v>2037</v>
      </c>
      <c r="K27" s="8">
        <f t="shared" si="2"/>
        <v>24.34539626440996</v>
      </c>
      <c r="L27" s="8">
        <f t="shared" si="3"/>
        <v>6.755971549624281</v>
      </c>
      <c r="N27" s="8">
        <f t="shared" si="1"/>
        <v>34.10184051014275</v>
      </c>
      <c r="O27" s="9">
        <f t="shared" si="4"/>
        <v>9.463434555516075</v>
      </c>
    </row>
    <row r="28" spans="1:15" ht="15">
      <c r="A28" s="24"/>
      <c r="B28" s="4" t="s">
        <v>23</v>
      </c>
      <c r="C28" s="19" t="s">
        <v>97</v>
      </c>
      <c r="D28" s="4"/>
      <c r="E28" s="4"/>
      <c r="F28" s="34">
        <f>150*1.25</f>
        <v>187.5</v>
      </c>
      <c r="G28" s="4"/>
      <c r="H28" s="25"/>
      <c r="J28">
        <f t="shared" si="0"/>
        <v>2038</v>
      </c>
      <c r="K28" s="8">
        <f t="shared" si="2"/>
        <v>24.5912847666805</v>
      </c>
      <c r="L28" s="8">
        <f t="shared" si="3"/>
        <v>6.437931002146684</v>
      </c>
      <c r="N28" s="8">
        <f t="shared" si="1"/>
        <v>34.60654774969286</v>
      </c>
      <c r="O28" s="9">
        <f t="shared" si="4"/>
        <v>9.05989942163935</v>
      </c>
    </row>
    <row r="29" spans="1:15" ht="15">
      <c r="A29" s="24"/>
      <c r="B29" s="45" t="s">
        <v>81</v>
      </c>
      <c r="C29" s="52" t="s">
        <v>86</v>
      </c>
      <c r="D29" s="1"/>
      <c r="E29" s="1"/>
      <c r="F29" s="18">
        <f>F$9*0.1*I29/100</f>
        <v>0</v>
      </c>
      <c r="G29" s="1"/>
      <c r="I29" s="24"/>
      <c r="J29">
        <f t="shared" si="0"/>
        <v>2039</v>
      </c>
      <c r="K29" s="8">
        <f t="shared" si="2"/>
        <v>24.839656742823973</v>
      </c>
      <c r="L29" s="8">
        <f t="shared" si="3"/>
        <v>6.134862363460723</v>
      </c>
      <c r="N29" s="8">
        <f t="shared" si="1"/>
        <v>35.11872465638831</v>
      </c>
      <c r="O29" s="9">
        <f t="shared" si="4"/>
        <v>8.673571634980767</v>
      </c>
    </row>
    <row r="30" spans="1:15" ht="15">
      <c r="A30" s="24"/>
      <c r="B30" s="2" t="s">
        <v>24</v>
      </c>
      <c r="C30" s="19" t="s">
        <v>87</v>
      </c>
      <c r="D30" s="4"/>
      <c r="E30" s="4"/>
      <c r="F30" s="20">
        <f>SUM(F26:F29)</f>
        <v>509.49584336489966</v>
      </c>
      <c r="G30" s="4"/>
      <c r="H30" s="40">
        <f>F30/F44</f>
        <v>0.5054028155803707</v>
      </c>
      <c r="J30">
        <f t="shared" si="0"/>
        <v>2040</v>
      </c>
      <c r="K30" s="8">
        <f t="shared" si="2"/>
        <v>25.090537275926494</v>
      </c>
      <c r="L30" s="8">
        <f t="shared" si="3"/>
        <v>5.846060823897807</v>
      </c>
      <c r="N30" s="8">
        <f t="shared" si="1"/>
        <v>35.63848178130285</v>
      </c>
      <c r="O30" s="9">
        <f t="shared" si="4"/>
        <v>8.303717448281585</v>
      </c>
    </row>
    <row r="31" spans="9:15" ht="15">
      <c r="I31" s="24"/>
      <c r="J31">
        <f t="shared" si="0"/>
        <v>2041</v>
      </c>
      <c r="K31" s="8">
        <f t="shared" si="2"/>
        <v>25.34395170241335</v>
      </c>
      <c r="L31" s="8">
        <f t="shared" si="3"/>
        <v>5.570854753036957</v>
      </c>
      <c r="N31" s="8">
        <f t="shared" si="1"/>
        <v>36.16593131166613</v>
      </c>
      <c r="O31" s="9">
        <f t="shared" si="4"/>
        <v>7.949634402373728</v>
      </c>
    </row>
    <row r="32" spans="1:15" ht="15">
      <c r="A32" s="27" t="s">
        <v>38</v>
      </c>
      <c r="B32" s="41"/>
      <c r="C32" s="4"/>
      <c r="D32" s="4"/>
      <c r="E32" s="4"/>
      <c r="F32" s="4"/>
      <c r="G32" s="4"/>
      <c r="H32" s="25"/>
      <c r="J32">
        <f t="shared" si="0"/>
        <v>2042</v>
      </c>
      <c r="K32" s="8">
        <f t="shared" si="2"/>
        <v>25.599925614607724</v>
      </c>
      <c r="L32" s="8">
        <f t="shared" si="3"/>
        <v>5.308604137776065</v>
      </c>
      <c r="N32" s="8">
        <f t="shared" si="1"/>
        <v>36.70118709507879</v>
      </c>
      <c r="O32" s="9">
        <f t="shared" si="4"/>
        <v>7.610649992008356</v>
      </c>
    </row>
    <row r="33" spans="1:15" ht="15">
      <c r="A33" s="24"/>
      <c r="B33" s="4" t="s">
        <v>47</v>
      </c>
      <c r="C33" s="19">
        <v>17</v>
      </c>
      <c r="D33" s="4">
        <f>D18-D24</f>
        <v>3120</v>
      </c>
      <c r="E33" s="4">
        <f>E18-E24</f>
        <v>3430</v>
      </c>
      <c r="F33" s="4">
        <f>F18-F24</f>
        <v>3180</v>
      </c>
      <c r="G33" s="5">
        <f>G18-G24</f>
        <v>3542.381091705955</v>
      </c>
      <c r="H33" s="25"/>
      <c r="J33">
        <f t="shared" si="0"/>
        <v>2043</v>
      </c>
      <c r="K33" s="8">
        <f t="shared" si="2"/>
        <v>25.85848486331526</v>
      </c>
      <c r="L33" s="8">
        <f t="shared" si="3"/>
        <v>5.058699093931701</v>
      </c>
      <c r="N33" s="8">
        <f t="shared" si="1"/>
        <v>37.24436466408595</v>
      </c>
      <c r="O33" s="9">
        <f t="shared" si="4"/>
        <v>7.286120388575546</v>
      </c>
    </row>
    <row r="34" spans="1:15" ht="15">
      <c r="A34" s="24"/>
      <c r="B34" s="4" t="s">
        <v>21</v>
      </c>
      <c r="C34" s="37" t="s">
        <v>88</v>
      </c>
      <c r="D34" s="4"/>
      <c r="E34" s="4"/>
      <c r="F34" s="36">
        <f>F33*F21/1000</f>
        <v>124.12458204173643</v>
      </c>
      <c r="G34" s="36">
        <f>G33*G21/1000</f>
        <v>196.45621324155422</v>
      </c>
      <c r="H34" s="25"/>
      <c r="J34">
        <f t="shared" si="0"/>
        <v>2044</v>
      </c>
      <c r="K34" s="8">
        <f t="shared" si="2"/>
        <v>26.119655560434747</v>
      </c>
      <c r="L34" s="8">
        <f t="shared" si="3"/>
        <v>4.820558447906048</v>
      </c>
      <c r="N34" s="8">
        <f t="shared" si="1"/>
        <v>37.79558126111442</v>
      </c>
      <c r="O34" s="9">
        <f t="shared" si="4"/>
        <v>6.975429217289117</v>
      </c>
    </row>
    <row r="35" spans="1:15" ht="15">
      <c r="A35" s="24"/>
      <c r="B35" s="1" t="s">
        <v>32</v>
      </c>
      <c r="C35" s="14">
        <v>19</v>
      </c>
      <c r="D35" s="1"/>
      <c r="E35" s="1"/>
      <c r="F35" s="10">
        <f>Base!F30</f>
        <v>99.44102575899059</v>
      </c>
      <c r="G35" s="10">
        <f>Base!G30</f>
        <v>155.20111574117826</v>
      </c>
      <c r="H35" s="25"/>
      <c r="J35">
        <f t="shared" si="0"/>
        <v>2045</v>
      </c>
      <c r="K35" s="8">
        <f t="shared" si="2"/>
        <v>26.38346408159514</v>
      </c>
      <c r="L35" s="8">
        <f t="shared" si="3"/>
        <v>4.593628385122547</v>
      </c>
      <c r="N35" s="8">
        <f t="shared" si="1"/>
        <v>38.35495586377891</v>
      </c>
      <c r="O35" s="9">
        <f t="shared" si="4"/>
        <v>6.677986386514146</v>
      </c>
    </row>
    <row r="36" spans="1:15" ht="15">
      <c r="A36" s="24"/>
      <c r="B36" s="4" t="s">
        <v>33</v>
      </c>
      <c r="C36" s="19" t="s">
        <v>89</v>
      </c>
      <c r="D36" s="4"/>
      <c r="E36" s="4"/>
      <c r="F36" s="36">
        <f>F34-F35</f>
        <v>24.68355628274584</v>
      </c>
      <c r="G36" s="39">
        <f>G34-G35</f>
        <v>41.25509750037597</v>
      </c>
      <c r="H36" s="25"/>
      <c r="J36">
        <f t="shared" si="0"/>
        <v>2046</v>
      </c>
      <c r="K36" s="8">
        <f t="shared" si="2"/>
        <v>26.649937068819252</v>
      </c>
      <c r="L36" s="8">
        <f t="shared" si="3"/>
        <v>4.37738116208706</v>
      </c>
      <c r="N36" s="8">
        <f t="shared" si="1"/>
        <v>38.92260921056284</v>
      </c>
      <c r="O36" s="9">
        <f t="shared" si="4"/>
        <v>6.39322696701373</v>
      </c>
    </row>
    <row r="37" spans="1:15" ht="15">
      <c r="A37" s="24"/>
      <c r="B37" s="4" t="s">
        <v>34</v>
      </c>
      <c r="C37" s="19" t="s">
        <v>90</v>
      </c>
      <c r="D37" s="4"/>
      <c r="E37" s="4"/>
      <c r="F37" s="20">
        <f>O41</f>
        <v>433.60270230669266</v>
      </c>
      <c r="G37" s="4"/>
      <c r="H37" s="40"/>
      <c r="J37">
        <f t="shared" si="0"/>
        <v>2047</v>
      </c>
      <c r="K37" s="8">
        <f t="shared" si="2"/>
        <v>26.919101433214326</v>
      </c>
      <c r="L37" s="8">
        <f t="shared" si="3"/>
        <v>4.171313879079378</v>
      </c>
      <c r="N37" s="8">
        <f t="shared" si="1"/>
        <v>39.49866382687917</v>
      </c>
      <c r="O37" s="9">
        <f t="shared" si="4"/>
        <v>6.120610118986352</v>
      </c>
    </row>
    <row r="38" spans="1:15" ht="15">
      <c r="A38" s="24"/>
      <c r="B38" s="45" t="s">
        <v>81</v>
      </c>
      <c r="C38" s="50" t="s">
        <v>92</v>
      </c>
      <c r="D38" s="1"/>
      <c r="E38" s="1"/>
      <c r="F38" s="18">
        <f>F$9*0.1</f>
        <v>65</v>
      </c>
      <c r="G38" s="1"/>
      <c r="H38" s="25"/>
      <c r="J38">
        <f t="shared" si="0"/>
        <v>2048</v>
      </c>
      <c r="K38" s="8">
        <f t="shared" si="2"/>
        <v>27.19098435768979</v>
      </c>
      <c r="L38" s="8">
        <f t="shared" si="3"/>
        <v>3.9749473106208293</v>
      </c>
      <c r="N38" s="8">
        <f t="shared" si="1"/>
        <v>40.08324405151698</v>
      </c>
      <c r="O38" s="9">
        <f t="shared" si="4"/>
        <v>5.859618064855991</v>
      </c>
    </row>
    <row r="39" spans="1:15" ht="15">
      <c r="A39" s="24"/>
      <c r="B39" s="2" t="s">
        <v>82</v>
      </c>
      <c r="C39" s="13" t="s">
        <v>91</v>
      </c>
      <c r="F39" s="53">
        <f>SUM(F37:F38)</f>
        <v>498.60270230669266</v>
      </c>
      <c r="H39" s="55">
        <f>F39/F44</f>
        <v>0.4945971844196293</v>
      </c>
      <c r="J39">
        <f t="shared" si="0"/>
        <v>2049</v>
      </c>
      <c r="K39" s="8">
        <f t="shared" si="2"/>
        <v>27.465613299702454</v>
      </c>
      <c r="L39" s="8">
        <f t="shared" si="3"/>
        <v>3.7878247909982066</v>
      </c>
      <c r="N39" s="8">
        <f t="shared" si="1"/>
        <v>40.67647606347943</v>
      </c>
      <c r="O39" s="9">
        <f t="shared" si="4"/>
        <v>5.609755105864018</v>
      </c>
    </row>
    <row r="40" spans="1:15" ht="15">
      <c r="A40" s="24"/>
      <c r="H40" s="25"/>
      <c r="J40">
        <f t="shared" si="0"/>
        <v>2050</v>
      </c>
      <c r="K40" s="7">
        <f t="shared" si="2"/>
        <v>27.74301599402945</v>
      </c>
      <c r="L40" s="8">
        <f t="shared" si="3"/>
        <v>3.6095111522521584</v>
      </c>
      <c r="N40" s="8">
        <f t="shared" si="1"/>
        <v>41.27848790921892</v>
      </c>
      <c r="O40" s="9">
        <f t="shared" si="4"/>
        <v>5.370546680595098</v>
      </c>
    </row>
    <row r="41" spans="1:15" ht="15">
      <c r="A41" s="24"/>
      <c r="B41" s="4" t="s">
        <v>61</v>
      </c>
      <c r="C41" s="19">
        <v>24</v>
      </c>
      <c r="D41" s="4"/>
      <c r="E41" s="4"/>
      <c r="F41" s="4">
        <v>1000</v>
      </c>
      <c r="G41" s="4"/>
      <c r="H41" s="25"/>
      <c r="J41">
        <f t="shared" si="0"/>
        <v>2051</v>
      </c>
      <c r="K41" s="8" t="s">
        <v>29</v>
      </c>
      <c r="L41" s="8">
        <f>SUM(L6:L40)</f>
        <v>321.99584336489966</v>
      </c>
      <c r="O41" s="8">
        <f>SUM(O6:O40)</f>
        <v>433.60270230669266</v>
      </c>
    </row>
    <row r="42" spans="1:14" ht="15">
      <c r="A42" s="24"/>
      <c r="B42" s="4" t="s">
        <v>63</v>
      </c>
      <c r="C42" s="19" t="s">
        <v>94</v>
      </c>
      <c r="D42" s="4"/>
      <c r="E42" s="4"/>
      <c r="F42" s="5">
        <f>F30-F29+F37</f>
        <v>943.0985456715923</v>
      </c>
      <c r="G42" s="44">
        <f>F42/F41</f>
        <v>0.9430985456715923</v>
      </c>
      <c r="H42" s="25"/>
      <c r="J42">
        <f t="shared" si="0"/>
        <v>2052</v>
      </c>
      <c r="N42" s="17">
        <v>0.0148</v>
      </c>
    </row>
    <row r="43" spans="1:10" ht="15">
      <c r="A43" s="24"/>
      <c r="B43" s="45" t="s">
        <v>83</v>
      </c>
      <c r="C43" s="14" t="s">
        <v>96</v>
      </c>
      <c r="D43" s="1"/>
      <c r="E43" s="1"/>
      <c r="F43" s="1">
        <f>0.1*F9</f>
        <v>65</v>
      </c>
      <c r="G43" s="1"/>
      <c r="H43" s="25"/>
      <c r="J43">
        <f t="shared" si="0"/>
        <v>2053</v>
      </c>
    </row>
    <row r="44" spans="1:10" ht="15">
      <c r="A44" s="28"/>
      <c r="B44" s="45" t="s">
        <v>93</v>
      </c>
      <c r="C44" s="52" t="s">
        <v>95</v>
      </c>
      <c r="D44" s="1"/>
      <c r="E44" s="1"/>
      <c r="F44" s="6">
        <f>SUM(F42:F43)</f>
        <v>1008.0985456715923</v>
      </c>
      <c r="G44" s="46">
        <f>F44/F41</f>
        <v>1.0080985456715923</v>
      </c>
      <c r="H44" s="29"/>
      <c r="J44">
        <f t="shared" si="0"/>
        <v>2054</v>
      </c>
    </row>
    <row r="45" ht="15">
      <c r="J45">
        <f t="shared" si="0"/>
        <v>2055</v>
      </c>
    </row>
    <row r="46" spans="1:10" ht="15">
      <c r="A46" s="3"/>
      <c r="J46">
        <f t="shared" si="0"/>
        <v>2056</v>
      </c>
    </row>
    <row r="47" spans="1:10" ht="15">
      <c r="A47" s="3"/>
      <c r="B47" s="16"/>
      <c r="J47">
        <f t="shared" si="0"/>
        <v>2057</v>
      </c>
    </row>
    <row r="48" spans="1:10" ht="15">
      <c r="A48" s="3"/>
      <c r="J48">
        <f t="shared" si="0"/>
        <v>2058</v>
      </c>
    </row>
    <row r="49" ht="15">
      <c r="J49">
        <f t="shared" si="0"/>
        <v>2059</v>
      </c>
    </row>
    <row r="50" ht="15">
      <c r="J50">
        <f t="shared" si="0"/>
        <v>2060</v>
      </c>
    </row>
  </sheetData>
  <sheetProtection/>
  <printOptions/>
  <pageMargins left="0.7" right="0.7" top="0.75" bottom="0.75" header="0.3" footer="0.3"/>
  <pageSetup horizontalDpi="600" verticalDpi="600" orientation="landscape" paperSize="17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0"/>
  <sheetViews>
    <sheetView zoomScalePageLayoutView="0" workbookViewId="0" topLeftCell="A28">
      <selection activeCell="G55" sqref="G55"/>
    </sheetView>
  </sheetViews>
  <sheetFormatPr defaultColWidth="9.140625" defaultRowHeight="15"/>
  <cols>
    <col min="1" max="1" width="3.8515625" style="0" customWidth="1"/>
    <col min="2" max="2" width="29.8515625" style="0" customWidth="1"/>
    <col min="3" max="3" width="11.00390625" style="0" customWidth="1"/>
  </cols>
  <sheetData>
    <row r="1" spans="1:8" ht="18.75">
      <c r="A1" s="21"/>
      <c r="B1" s="22"/>
      <c r="C1" s="30" t="s">
        <v>45</v>
      </c>
      <c r="D1" s="22"/>
      <c r="E1" s="22"/>
      <c r="F1" s="22"/>
      <c r="G1" s="22"/>
      <c r="H1" s="23"/>
    </row>
    <row r="2" spans="1:10" ht="18.75">
      <c r="A2" s="24"/>
      <c r="B2" s="31" t="s">
        <v>62</v>
      </c>
      <c r="C2" s="4"/>
      <c r="D2" s="4"/>
      <c r="E2" s="4"/>
      <c r="F2" s="4"/>
      <c r="G2" s="4"/>
      <c r="H2" s="25"/>
      <c r="J2" s="12">
        <f>'HQ500'!J2</f>
        <v>0.0128</v>
      </c>
    </row>
    <row r="3" spans="1:14" ht="15">
      <c r="A3" s="24"/>
      <c r="B3" s="4"/>
      <c r="C3" s="4"/>
      <c r="D3" s="4"/>
      <c r="E3" s="4"/>
      <c r="F3" s="4"/>
      <c r="G3" s="4"/>
      <c r="H3" s="25"/>
      <c r="K3" t="s">
        <v>35</v>
      </c>
      <c r="N3" t="s">
        <v>36</v>
      </c>
    </row>
    <row r="4" spans="1:12" ht="15">
      <c r="A4" s="24"/>
      <c r="B4" s="4"/>
      <c r="C4" s="4"/>
      <c r="D4" s="4" t="s">
        <v>0</v>
      </c>
      <c r="E4" s="4" t="s">
        <v>1</v>
      </c>
      <c r="F4" s="4" t="s">
        <v>6</v>
      </c>
      <c r="G4" s="4" t="s">
        <v>7</v>
      </c>
      <c r="H4" s="25"/>
      <c r="K4" s="11" t="s">
        <v>28</v>
      </c>
      <c r="L4" s="11">
        <v>2015</v>
      </c>
    </row>
    <row r="5" spans="1:17" ht="15">
      <c r="A5" s="27" t="s">
        <v>14</v>
      </c>
      <c r="B5" s="4"/>
      <c r="C5" s="4"/>
      <c r="D5" s="4"/>
      <c r="E5" s="4"/>
      <c r="F5" s="4"/>
      <c r="G5" s="4"/>
      <c r="H5" s="25"/>
      <c r="J5">
        <v>2015</v>
      </c>
      <c r="K5" s="8">
        <f>F25</f>
        <v>18.951008934645465</v>
      </c>
      <c r="L5" s="8"/>
      <c r="N5" s="8">
        <f>F36</f>
        <v>21.087391065354566</v>
      </c>
      <c r="Q5">
        <v>2016</v>
      </c>
    </row>
    <row r="6" spans="1:17" ht="15">
      <c r="A6" s="24"/>
      <c r="B6" s="4" t="s">
        <v>15</v>
      </c>
      <c r="C6" s="4"/>
      <c r="D6" s="32" t="s">
        <v>16</v>
      </c>
      <c r="E6" s="32" t="s">
        <v>18</v>
      </c>
      <c r="F6" s="32" t="s">
        <v>17</v>
      </c>
      <c r="G6" s="4"/>
      <c r="H6" s="33" t="s">
        <v>40</v>
      </c>
      <c r="J6">
        <f aca="true" t="shared" si="0" ref="J6:J50">J5+1</f>
        <v>2016</v>
      </c>
      <c r="K6" s="8">
        <f>K5*(1+$I$26)</f>
        <v>19.142129859751364</v>
      </c>
      <c r="L6" s="8">
        <f>K6/(1.06^($J6-$J$5))</f>
        <v>18.058613075237133</v>
      </c>
      <c r="N6" s="8">
        <f aca="true" t="shared" si="1" ref="N6:N40">N5*(1+$N$42)</f>
        <v>21.4045454269775</v>
      </c>
      <c r="O6" s="9">
        <f>N6/(1.06^(J6-J$5))</f>
        <v>20.192967383941035</v>
      </c>
      <c r="Q6">
        <v>2050</v>
      </c>
    </row>
    <row r="7" spans="1:15" ht="15">
      <c r="A7" s="24"/>
      <c r="B7" s="4" t="s">
        <v>41</v>
      </c>
      <c r="C7" s="19">
        <v>1</v>
      </c>
      <c r="D7" s="4"/>
      <c r="E7" s="4">
        <v>75</v>
      </c>
      <c r="F7" s="34">
        <v>800</v>
      </c>
      <c r="G7" s="4"/>
      <c r="H7" s="25"/>
      <c r="J7">
        <f t="shared" si="0"/>
        <v>2017</v>
      </c>
      <c r="K7" s="8">
        <f aca="true" t="shared" si="2" ref="K7:K40">K6*(1+I$26)</f>
        <v>19.335178239386956</v>
      </c>
      <c r="L7" s="8">
        <f aca="true" t="shared" si="3" ref="L7:L40">K7/(1.06^(J7-J$5))</f>
        <v>17.20823980009519</v>
      </c>
      <c r="N7" s="8">
        <f t="shared" si="1"/>
        <v>21.72646979019924</v>
      </c>
      <c r="O7" s="9">
        <f aca="true" t="shared" si="4" ref="O7:O40">N7/(1.06^(J7-J$5))</f>
        <v>19.33648076735425</v>
      </c>
    </row>
    <row r="8" spans="1:15" ht="15">
      <c r="A8" s="24"/>
      <c r="B8" s="1" t="s">
        <v>42</v>
      </c>
      <c r="C8" s="14">
        <v>2</v>
      </c>
      <c r="D8" s="1"/>
      <c r="E8" s="1"/>
      <c r="F8" s="1">
        <v>150</v>
      </c>
      <c r="G8" s="1"/>
      <c r="H8" s="35">
        <v>61.2</v>
      </c>
      <c r="J8">
        <f t="shared" si="0"/>
        <v>2018</v>
      </c>
      <c r="K8" s="8">
        <f t="shared" si="2"/>
        <v>19.53017351193117</v>
      </c>
      <c r="L8" s="8">
        <f t="shared" si="3"/>
        <v>16.3979102815841</v>
      </c>
      <c r="N8" s="8">
        <f t="shared" si="1"/>
        <v>22.053235895843834</v>
      </c>
      <c r="O8" s="9">
        <f t="shared" si="4"/>
        <v>18.516322111410616</v>
      </c>
    </row>
    <row r="9" spans="1:15" ht="15">
      <c r="A9" s="24"/>
      <c r="B9" s="2" t="s">
        <v>43</v>
      </c>
      <c r="C9" s="19" t="s">
        <v>78</v>
      </c>
      <c r="D9" s="4"/>
      <c r="E9" s="4">
        <f>E7</f>
        <v>75</v>
      </c>
      <c r="F9" s="34">
        <f>F7-F8-H8</f>
        <v>588.8</v>
      </c>
      <c r="G9" s="4"/>
      <c r="H9" s="25"/>
      <c r="J9">
        <f t="shared" si="0"/>
        <v>2019</v>
      </c>
      <c r="K9" s="8">
        <f t="shared" si="2"/>
        <v>19.727135311798996</v>
      </c>
      <c r="L9" s="8">
        <f t="shared" si="3"/>
        <v>15.625738874314974</v>
      </c>
      <c r="N9" s="8">
        <f t="shared" si="1"/>
        <v>22.384916563717322</v>
      </c>
      <c r="O9" s="9">
        <f t="shared" si="4"/>
        <v>17.730950562232294</v>
      </c>
    </row>
    <row r="10" spans="1:15" ht="15">
      <c r="A10" s="24"/>
      <c r="B10" s="4"/>
      <c r="C10" s="19"/>
      <c r="D10" s="4"/>
      <c r="E10" s="4"/>
      <c r="F10" s="4"/>
      <c r="G10" s="4"/>
      <c r="H10" s="25"/>
      <c r="J10">
        <f t="shared" si="0"/>
        <v>2020</v>
      </c>
      <c r="K10" s="8">
        <f t="shared" si="2"/>
        <v>19.926083471418487</v>
      </c>
      <c r="L10" s="8">
        <f t="shared" si="3"/>
        <v>14.889928727228714</v>
      </c>
      <c r="N10" s="8">
        <f t="shared" si="1"/>
        <v>22.72158570883563</v>
      </c>
      <c r="O10" s="9">
        <f t="shared" si="4"/>
        <v>16.978890621404023</v>
      </c>
    </row>
    <row r="11" spans="1:15" ht="15">
      <c r="A11" s="27" t="s">
        <v>8</v>
      </c>
      <c r="B11" s="4"/>
      <c r="C11" s="4"/>
      <c r="D11" s="4"/>
      <c r="E11" s="4"/>
      <c r="F11" s="4"/>
      <c r="G11" s="4"/>
      <c r="H11" s="25"/>
      <c r="J11">
        <f t="shared" si="0"/>
        <v>2021</v>
      </c>
      <c r="K11" s="8">
        <f t="shared" si="2"/>
        <v>20.12703802322774</v>
      </c>
      <c r="L11" s="8">
        <f t="shared" si="3"/>
        <v>14.18876760230454</v>
      </c>
      <c r="N11" s="8">
        <f t="shared" si="1"/>
        <v>23.063318357896517</v>
      </c>
      <c r="O11" s="9">
        <f t="shared" si="4"/>
        <v>16.258729373915035</v>
      </c>
    </row>
    <row r="12" spans="1:15" ht="15">
      <c r="A12" s="24"/>
      <c r="B12" s="4" t="s">
        <v>75</v>
      </c>
      <c r="C12" s="19">
        <v>4</v>
      </c>
      <c r="D12" s="36">
        <v>80.5</v>
      </c>
      <c r="E12" s="36">
        <f>D12*1.013^5+E$9*0.068</f>
        <v>90.97032511069155</v>
      </c>
      <c r="F12" s="36">
        <f>E12*(1+J2)^7+F$9*0.068</f>
        <v>139.4794257589906</v>
      </c>
      <c r="G12" s="36">
        <f>F12*(1+J2)^35+G$9*0.068</f>
        <v>217.69045859602886</v>
      </c>
      <c r="H12" s="25"/>
      <c r="J12">
        <f t="shared" si="0"/>
        <v>2022</v>
      </c>
      <c r="K12" s="8">
        <f t="shared" si="2"/>
        <v>20.33001920169199</v>
      </c>
      <c r="L12" s="8">
        <f t="shared" si="3"/>
        <v>13.520623890163943</v>
      </c>
      <c r="N12" s="8">
        <f t="shared" si="1"/>
        <v>23.41019066599928</v>
      </c>
      <c r="O12" s="9">
        <f t="shared" si="4"/>
        <v>15.569113833678033</v>
      </c>
    </row>
    <row r="13" spans="1:15" ht="15">
      <c r="A13" s="24"/>
      <c r="B13" s="47"/>
      <c r="C13" s="4"/>
      <c r="D13" s="4"/>
      <c r="E13" s="4"/>
      <c r="F13" s="4"/>
      <c r="G13" s="4"/>
      <c r="H13" s="25"/>
      <c r="J13">
        <f t="shared" si="0"/>
        <v>2023</v>
      </c>
      <c r="K13" s="8">
        <f t="shared" si="2"/>
        <v>20.53504744534105</v>
      </c>
      <c r="L13" s="8">
        <f t="shared" si="3"/>
        <v>12.883942813298344</v>
      </c>
      <c r="N13" s="8">
        <f t="shared" si="1"/>
        <v>23.762279933615908</v>
      </c>
      <c r="O13" s="9">
        <f t="shared" si="4"/>
        <v>14.908748401638256</v>
      </c>
    </row>
    <row r="14" spans="1:15" ht="15">
      <c r="A14" s="27" t="s">
        <v>9</v>
      </c>
      <c r="B14" s="4"/>
      <c r="C14" s="37"/>
      <c r="D14" s="4"/>
      <c r="E14" s="4"/>
      <c r="F14" s="4"/>
      <c r="G14" s="4"/>
      <c r="H14" s="25"/>
      <c r="J14">
        <f t="shared" si="0"/>
        <v>2024</v>
      </c>
      <c r="K14" s="8">
        <f t="shared" si="2"/>
        <v>20.742143398827313</v>
      </c>
      <c r="L14" s="8">
        <f t="shared" si="3"/>
        <v>12.277242808085337</v>
      </c>
      <c r="N14" s="8">
        <f t="shared" si="1"/>
        <v>24.11966462381749</v>
      </c>
      <c r="O14" s="9">
        <f t="shared" si="4"/>
        <v>14.27639243169707</v>
      </c>
    </row>
    <row r="15" spans="1:15" ht="15">
      <c r="A15" s="24"/>
      <c r="B15" s="4" t="s">
        <v>5</v>
      </c>
      <c r="C15" s="19">
        <v>5</v>
      </c>
      <c r="D15" s="4">
        <v>2100</v>
      </c>
      <c r="E15" s="4">
        <v>2100</v>
      </c>
      <c r="F15" s="4">
        <v>1900</v>
      </c>
      <c r="G15" s="5">
        <f>F15*1.005^35</f>
        <v>2262.381091705955</v>
      </c>
      <c r="H15" s="25"/>
      <c r="J15">
        <f t="shared" si="0"/>
        <v>2025</v>
      </c>
      <c r="K15" s="8">
        <f t="shared" si="2"/>
        <v>20.951327915004484</v>
      </c>
      <c r="L15" s="8">
        <f t="shared" si="3"/>
        <v>11.69911207717441</v>
      </c>
      <c r="N15" s="8">
        <f t="shared" si="1"/>
        <v>24.482424379759703</v>
      </c>
      <c r="O15" s="9">
        <f t="shared" si="4"/>
        <v>13.670857899877163</v>
      </c>
    </row>
    <row r="16" spans="1:15" ht="15">
      <c r="A16" s="24"/>
      <c r="B16" s="4" t="s">
        <v>2</v>
      </c>
      <c r="C16" s="19">
        <v>6</v>
      </c>
      <c r="D16" s="4">
        <v>720</v>
      </c>
      <c r="E16" s="4">
        <v>1080</v>
      </c>
      <c r="F16" s="4">
        <v>1580</v>
      </c>
      <c r="G16" s="4">
        <v>1580</v>
      </c>
      <c r="H16" s="25"/>
      <c r="J16">
        <f t="shared" si="0"/>
        <v>2026</v>
      </c>
      <c r="K16" s="8">
        <f t="shared" si="2"/>
        <v>21.162622057027303</v>
      </c>
      <c r="L16" s="8">
        <f t="shared" si="3"/>
        <v>11.14820530421954</v>
      </c>
      <c r="N16" s="8">
        <f t="shared" si="1"/>
        <v>24.850640042431287</v>
      </c>
      <c r="O16" s="9">
        <f t="shared" si="4"/>
        <v>13.091007172350293</v>
      </c>
    </row>
    <row r="17" spans="1:15" ht="15">
      <c r="A17" s="24"/>
      <c r="B17" s="1" t="s">
        <v>3</v>
      </c>
      <c r="C17" s="14">
        <v>7</v>
      </c>
      <c r="D17" s="1">
        <v>300</v>
      </c>
      <c r="E17" s="1">
        <v>250</v>
      </c>
      <c r="F17" s="1">
        <v>200</v>
      </c>
      <c r="G17" s="1">
        <v>200</v>
      </c>
      <c r="H17" s="25"/>
      <c r="J17">
        <f t="shared" si="0"/>
        <v>2027</v>
      </c>
      <c r="K17" s="8">
        <f t="shared" si="2"/>
        <v>21.37604710047242</v>
      </c>
      <c r="L17" s="8">
        <f t="shared" si="3"/>
        <v>10.623240523313765</v>
      </c>
      <c r="N17" s="8">
        <f t="shared" si="1"/>
        <v>25.224393668669453</v>
      </c>
      <c r="O17" s="9">
        <f t="shared" si="4"/>
        <v>12.535750868134379</v>
      </c>
    </row>
    <row r="18" spans="1:15" ht="15">
      <c r="A18" s="24"/>
      <c r="B18" s="2" t="s">
        <v>4</v>
      </c>
      <c r="C18" s="15" t="s">
        <v>12</v>
      </c>
      <c r="D18" s="4">
        <f>SUM(D15:D17)</f>
        <v>3120</v>
      </c>
      <c r="E18" s="4">
        <f>SUM(E15:E17)</f>
        <v>3430</v>
      </c>
      <c r="F18" s="4">
        <f>SUM(F15:F17)</f>
        <v>3680</v>
      </c>
      <c r="G18" s="5">
        <f>SUM(G15:G17)</f>
        <v>4042.381091705955</v>
      </c>
      <c r="H18" s="25"/>
      <c r="J18">
        <f t="shared" si="0"/>
        <v>2028</v>
      </c>
      <c r="K18" s="8">
        <f t="shared" si="2"/>
        <v>21.591624535480683</v>
      </c>
      <c r="L18" s="8">
        <f t="shared" si="3"/>
        <v>10.122996135840927</v>
      </c>
      <c r="N18" s="8">
        <f t="shared" si="1"/>
        <v>25.60376854944624</v>
      </c>
      <c r="O18" s="9">
        <f t="shared" si="4"/>
        <v>12.004045812444451</v>
      </c>
    </row>
    <row r="19" spans="1:15" ht="15">
      <c r="A19" s="24"/>
      <c r="B19" s="4"/>
      <c r="C19" s="4"/>
      <c r="D19" s="4"/>
      <c r="E19" s="4"/>
      <c r="F19" s="4"/>
      <c r="G19" s="4"/>
      <c r="H19" s="25"/>
      <c r="J19">
        <f t="shared" si="0"/>
        <v>2029</v>
      </c>
      <c r="K19" s="8">
        <f t="shared" si="2"/>
        <v>21.809376068921004</v>
      </c>
      <c r="L19" s="8">
        <f t="shared" si="3"/>
        <v>9.64630806780272</v>
      </c>
      <c r="N19" s="8">
        <f t="shared" si="1"/>
        <v>25.98884922842991</v>
      </c>
      <c r="O19" s="9">
        <f t="shared" si="4"/>
        <v>11.494893076852467</v>
      </c>
    </row>
    <row r="20" spans="1:15" ht="15">
      <c r="A20" s="27" t="s">
        <v>77</v>
      </c>
      <c r="B20" s="4"/>
      <c r="C20" s="4"/>
      <c r="D20" s="4"/>
      <c r="E20" s="4"/>
      <c r="F20" s="4"/>
      <c r="G20" s="4"/>
      <c r="H20" s="25"/>
      <c r="J20">
        <f t="shared" si="0"/>
        <v>2030</v>
      </c>
      <c r="K20" s="8">
        <f t="shared" si="2"/>
        <v>22.02932362657607</v>
      </c>
      <c r="L20" s="8">
        <f t="shared" si="3"/>
        <v>9.192067061006137</v>
      </c>
      <c r="N20" s="8">
        <f t="shared" si="1"/>
        <v>26.379721520825495</v>
      </c>
      <c r="O20" s="9">
        <f t="shared" si="4"/>
        <v>11.007336102573891</v>
      </c>
    </row>
    <row r="21" spans="1:15" ht="15">
      <c r="A21" s="24"/>
      <c r="B21" s="4" t="s">
        <v>74</v>
      </c>
      <c r="C21" s="19" t="s">
        <v>13</v>
      </c>
      <c r="D21" s="36">
        <f>D12/D18*1000</f>
        <v>25.80128205128205</v>
      </c>
      <c r="E21" s="36">
        <f>E12/E18*1000</f>
        <v>26.521960673671003</v>
      </c>
      <c r="F21" s="36">
        <f>F12/F18*1000</f>
        <v>37.90201786929093</v>
      </c>
      <c r="G21" s="36">
        <f>G12/G18*1000</f>
        <v>53.85203761285152</v>
      </c>
      <c r="H21" s="25"/>
      <c r="J21">
        <f t="shared" si="0"/>
        <v>2031</v>
      </c>
      <c r="K21" s="8">
        <f t="shared" si="2"/>
        <v>22.251489355350085</v>
      </c>
      <c r="L21" s="8">
        <f t="shared" si="3"/>
        <v>8.759216091807911</v>
      </c>
      <c r="N21" s="8">
        <f t="shared" si="1"/>
        <v>26.77647253249871</v>
      </c>
      <c r="O21" s="9">
        <f t="shared" si="4"/>
        <v>10.540458903355287</v>
      </c>
    </row>
    <row r="22" spans="1:15" ht="15">
      <c r="A22" s="24"/>
      <c r="B22" s="4"/>
      <c r="C22" s="4"/>
      <c r="D22" s="4"/>
      <c r="E22" s="4"/>
      <c r="F22" s="4"/>
      <c r="G22" s="4"/>
      <c r="H22" s="25"/>
      <c r="J22">
        <f t="shared" si="0"/>
        <v>2032</v>
      </c>
      <c r="K22" s="8">
        <f t="shared" si="2"/>
        <v>22.475895625498787</v>
      </c>
      <c r="L22" s="8">
        <f t="shared" si="3"/>
        <v>8.346747911409237</v>
      </c>
      <c r="N22" s="8">
        <f t="shared" si="1"/>
        <v>27.17919067938749</v>
      </c>
      <c r="O22" s="9">
        <f t="shared" si="4"/>
        <v>10.093384344586555</v>
      </c>
    </row>
    <row r="23" spans="1:15" ht="15">
      <c r="A23" s="27" t="s">
        <v>71</v>
      </c>
      <c r="B23" s="4"/>
      <c r="C23" s="37"/>
      <c r="D23" s="4"/>
      <c r="E23" s="4"/>
      <c r="F23" s="4"/>
      <c r="G23" s="4"/>
      <c r="H23" s="25"/>
      <c r="J23">
        <f t="shared" si="0"/>
        <v>2033</v>
      </c>
      <c r="K23" s="8">
        <f t="shared" si="2"/>
        <v>22.70256503288194</v>
      </c>
      <c r="L23" s="8">
        <f t="shared" si="3"/>
        <v>7.953702701977168</v>
      </c>
      <c r="N23" s="8">
        <f t="shared" si="1"/>
        <v>27.587965707205473</v>
      </c>
      <c r="O23" s="9">
        <f t="shared" si="4"/>
        <v>9.665272495404846</v>
      </c>
    </row>
    <row r="24" spans="1:15" ht="15">
      <c r="A24" s="24"/>
      <c r="B24" s="4" t="s">
        <v>20</v>
      </c>
      <c r="C24" s="19">
        <v>10</v>
      </c>
      <c r="D24" s="4"/>
      <c r="E24" s="4"/>
      <c r="F24" s="34">
        <v>500</v>
      </c>
      <c r="G24" s="34">
        <v>500</v>
      </c>
      <c r="H24" s="25"/>
      <c r="J24">
        <f t="shared" si="0"/>
        <v>2034</v>
      </c>
      <c r="K24" s="8">
        <f t="shared" si="2"/>
        <v>22.93152040123855</v>
      </c>
      <c r="L24" s="8">
        <f t="shared" si="3"/>
        <v>7.579165843138307</v>
      </c>
      <c r="N24" s="8">
        <f t="shared" si="1"/>
        <v>28.00288871144184</v>
      </c>
      <c r="O24" s="9">
        <f t="shared" si="4"/>
        <v>9.255319050694087</v>
      </c>
    </row>
    <row r="25" spans="1:15" ht="15">
      <c r="A25" s="24"/>
      <c r="B25" s="4" t="s">
        <v>21</v>
      </c>
      <c r="C25" s="19" t="s">
        <v>79</v>
      </c>
      <c r="D25" s="4"/>
      <c r="E25" s="4"/>
      <c r="F25" s="36">
        <f>F24*F21/1000</f>
        <v>18.951008934645465</v>
      </c>
      <c r="G25" s="39">
        <f>G24*G21/1000</f>
        <v>26.92601880642576</v>
      </c>
      <c r="H25" s="38">
        <f>K40</f>
        <v>26.925240965789193</v>
      </c>
      <c r="I25" s="48" t="s">
        <v>19</v>
      </c>
      <c r="J25">
        <f t="shared" si="0"/>
        <v>2035</v>
      </c>
      <c r="K25" s="8">
        <f t="shared" si="2"/>
        <v>23.16278478448504</v>
      </c>
      <c r="L25" s="8">
        <f t="shared" si="3"/>
        <v>7.222265783647506</v>
      </c>
      <c r="N25" s="8">
        <f t="shared" si="1"/>
        <v>28.424052157661926</v>
      </c>
      <c r="O25" s="9">
        <f t="shared" si="4"/>
        <v>8.862753820015591</v>
      </c>
    </row>
    <row r="26" spans="1:15" ht="15">
      <c r="A26" s="24"/>
      <c r="B26" s="26" t="s">
        <v>22</v>
      </c>
      <c r="C26" s="19" t="s">
        <v>80</v>
      </c>
      <c r="D26" s="4"/>
      <c r="E26" s="4"/>
      <c r="F26" s="20">
        <f>L41</f>
        <v>312.6051607295041</v>
      </c>
      <c r="G26" s="4"/>
      <c r="H26" s="25"/>
      <c r="I26" s="54">
        <v>0.010085</v>
      </c>
      <c r="J26">
        <f t="shared" si="0"/>
        <v>2036</v>
      </c>
      <c r="K26" s="8">
        <f t="shared" si="2"/>
        <v>23.39638146903657</v>
      </c>
      <c r="L26" s="8">
        <f t="shared" si="3"/>
        <v>6.882172013278858</v>
      </c>
      <c r="N26" s="8">
        <f t="shared" si="1"/>
        <v>28.85154990211316</v>
      </c>
      <c r="O26" s="9">
        <f t="shared" si="4"/>
        <v>8.486839280630777</v>
      </c>
    </row>
    <row r="27" spans="1:15" ht="15">
      <c r="A27" s="24"/>
      <c r="B27" s="4" t="s">
        <v>44</v>
      </c>
      <c r="C27" s="19" t="s">
        <v>106</v>
      </c>
      <c r="D27" s="4"/>
      <c r="E27" s="4"/>
      <c r="F27" s="20">
        <f>H8*1.25</f>
        <v>76.5</v>
      </c>
      <c r="G27" s="4"/>
      <c r="H27" s="25"/>
      <c r="J27">
        <f t="shared" si="0"/>
        <v>2037</v>
      </c>
      <c r="K27" s="8">
        <f t="shared" si="2"/>
        <v>23.632333976151802</v>
      </c>
      <c r="L27" s="8">
        <f t="shared" si="3"/>
        <v>6.558093130219598</v>
      </c>
      <c r="N27" s="8">
        <f t="shared" si="1"/>
        <v>29.28547721264094</v>
      </c>
      <c r="O27" s="9">
        <f t="shared" si="4"/>
        <v>8.126869191897606</v>
      </c>
    </row>
    <row r="28" spans="1:15" ht="15">
      <c r="A28" s="24"/>
      <c r="B28" s="4" t="s">
        <v>23</v>
      </c>
      <c r="C28" s="19" t="s">
        <v>97</v>
      </c>
      <c r="D28" s="4"/>
      <c r="E28" s="4"/>
      <c r="F28" s="34">
        <f>150*1.25</f>
        <v>187.5</v>
      </c>
      <c r="G28" s="4"/>
      <c r="H28" s="25"/>
      <c r="J28">
        <f t="shared" si="0"/>
        <v>2038</v>
      </c>
      <c r="K28" s="8">
        <f t="shared" si="2"/>
        <v>23.87066606430129</v>
      </c>
      <c r="L28" s="8">
        <f t="shared" si="3"/>
        <v>6.24927499946968</v>
      </c>
      <c r="N28" s="8">
        <f t="shared" si="1"/>
        <v>29.725930789919058</v>
      </c>
      <c r="O28" s="9">
        <f t="shared" si="4"/>
        <v>7.782167268437496</v>
      </c>
    </row>
    <row r="29" spans="1:15" ht="15">
      <c r="A29" s="24"/>
      <c r="B29" s="45" t="s">
        <v>81</v>
      </c>
      <c r="C29" s="52" t="s">
        <v>86</v>
      </c>
      <c r="D29" s="1"/>
      <c r="E29" s="1"/>
      <c r="F29" s="18">
        <f>F$9*0.1*I29/100</f>
        <v>35.804928</v>
      </c>
      <c r="G29" s="1"/>
      <c r="I29" s="24">
        <v>60.81</v>
      </c>
      <c r="J29">
        <f t="shared" si="0"/>
        <v>2039</v>
      </c>
      <c r="K29" s="8">
        <f t="shared" si="2"/>
        <v>24.111401731559766</v>
      </c>
      <c r="L29" s="8">
        <f t="shared" si="3"/>
        <v>5.954998997961635</v>
      </c>
      <c r="N29" s="8">
        <f t="shared" si="1"/>
        <v>30.17300878899944</v>
      </c>
      <c r="O29" s="9">
        <f t="shared" si="4"/>
        <v>7.452085909579996</v>
      </c>
    </row>
    <row r="30" spans="1:15" ht="15">
      <c r="A30" s="24"/>
      <c r="B30" s="2" t="s">
        <v>24</v>
      </c>
      <c r="C30" s="19" t="s">
        <v>87</v>
      </c>
      <c r="D30" s="4"/>
      <c r="E30" s="4"/>
      <c r="F30" s="20">
        <f>SUM(F26:F29)</f>
        <v>612.4100887295042</v>
      </c>
      <c r="G30" s="4"/>
      <c r="H30" s="57">
        <f>F30/F44</f>
        <v>0.6080802132615722</v>
      </c>
      <c r="J30">
        <f t="shared" si="0"/>
        <v>2040</v>
      </c>
      <c r="K30" s="8">
        <f t="shared" si="2"/>
        <v>24.354565218022543</v>
      </c>
      <c r="L30" s="8">
        <f t="shared" si="3"/>
        <v>5.6745803423170535</v>
      </c>
      <c r="N30" s="8">
        <f t="shared" si="1"/>
        <v>30.62681084118599</v>
      </c>
      <c r="O30" s="9">
        <f t="shared" si="4"/>
        <v>7.1360049826981875</v>
      </c>
    </row>
    <row r="31" spans="9:15" ht="15">
      <c r="I31" s="24"/>
      <c r="J31">
        <f t="shared" si="0"/>
        <v>2041</v>
      </c>
      <c r="K31" s="8">
        <f t="shared" si="2"/>
        <v>24.6001810082463</v>
      </c>
      <c r="L31" s="8">
        <f t="shared" si="3"/>
        <v>5.407366495348415</v>
      </c>
      <c r="N31" s="8">
        <f t="shared" si="1"/>
        <v>31.087438076237426</v>
      </c>
      <c r="O31" s="9">
        <f t="shared" si="4"/>
        <v>6.833330658149026</v>
      </c>
    </row>
    <row r="32" spans="1:15" ht="15">
      <c r="A32" s="27" t="s">
        <v>38</v>
      </c>
      <c r="B32" s="41"/>
      <c r="C32" s="4"/>
      <c r="D32" s="4"/>
      <c r="E32" s="4"/>
      <c r="F32" s="4"/>
      <c r="G32" s="4"/>
      <c r="H32" s="25"/>
      <c r="J32">
        <f t="shared" si="0"/>
        <v>2042</v>
      </c>
      <c r="K32" s="8">
        <f t="shared" si="2"/>
        <v>24.84827383371446</v>
      </c>
      <c r="L32" s="8">
        <f t="shared" si="3"/>
        <v>5.152735647598116</v>
      </c>
      <c r="N32" s="8">
        <f t="shared" si="1"/>
        <v>31.554993144904035</v>
      </c>
      <c r="O32" s="9">
        <f t="shared" si="4"/>
        <v>6.543494293629798</v>
      </c>
    </row>
    <row r="33" spans="1:15" ht="15">
      <c r="A33" s="24"/>
      <c r="B33" s="4" t="s">
        <v>47</v>
      </c>
      <c r="C33" s="19">
        <v>17</v>
      </c>
      <c r="D33" s="4">
        <f>D18-D24</f>
        <v>3120</v>
      </c>
      <c r="E33" s="4">
        <f>E18-E24</f>
        <v>3430</v>
      </c>
      <c r="F33" s="4">
        <f>F18-F24</f>
        <v>3180</v>
      </c>
      <c r="G33" s="5">
        <f>G18-G24</f>
        <v>3542.381091705955</v>
      </c>
      <c r="H33" s="25"/>
      <c r="J33">
        <f t="shared" si="0"/>
        <v>2043</v>
      </c>
      <c r="K33" s="8">
        <f t="shared" si="2"/>
        <v>25.09886867532747</v>
      </c>
      <c r="L33" s="8">
        <f t="shared" si="3"/>
        <v>4.910095270381267</v>
      </c>
      <c r="N33" s="8">
        <f t="shared" si="1"/>
        <v>32.02958024180339</v>
      </c>
      <c r="O33" s="9">
        <f t="shared" si="4"/>
        <v>6.265951365854707</v>
      </c>
    </row>
    <row r="34" spans="1:15" ht="15">
      <c r="A34" s="24"/>
      <c r="B34" s="4" t="s">
        <v>21</v>
      </c>
      <c r="C34" s="37" t="s">
        <v>88</v>
      </c>
      <c r="D34" s="4"/>
      <c r="E34" s="4"/>
      <c r="F34" s="36">
        <f>F33*F21/1000</f>
        <v>120.52841682434516</v>
      </c>
      <c r="G34" s="36">
        <f>G33*G21/1000</f>
        <v>190.7644397896031</v>
      </c>
      <c r="H34" s="25"/>
      <c r="J34">
        <f t="shared" si="0"/>
        <v>2044</v>
      </c>
      <c r="K34" s="8">
        <f t="shared" si="2"/>
        <v>25.351990765918146</v>
      </c>
      <c r="L34" s="8">
        <f t="shared" si="3"/>
        <v>4.6788807369651515</v>
      </c>
      <c r="N34" s="8">
        <f t="shared" si="1"/>
        <v>32.51130512864011</v>
      </c>
      <c r="O34" s="9">
        <f t="shared" si="4"/>
        <v>6.0001804475444915</v>
      </c>
    </row>
    <row r="35" spans="1:15" ht="15">
      <c r="A35" s="24"/>
      <c r="B35" s="1" t="s">
        <v>32</v>
      </c>
      <c r="C35" s="14">
        <v>19</v>
      </c>
      <c r="D35" s="1"/>
      <c r="E35" s="1"/>
      <c r="F35" s="10">
        <f>Base!F30</f>
        <v>99.44102575899059</v>
      </c>
      <c r="G35" s="10">
        <f>Base!G30</f>
        <v>155.20111574117826</v>
      </c>
      <c r="H35" s="25"/>
      <c r="J35">
        <f t="shared" si="0"/>
        <v>2045</v>
      </c>
      <c r="K35" s="8">
        <f t="shared" si="2"/>
        <v>25.60766559279243</v>
      </c>
      <c r="L35" s="8">
        <f t="shared" si="3"/>
        <v>4.458554008676835</v>
      </c>
      <c r="N35" s="8">
        <f t="shared" si="1"/>
        <v>33.00027515777486</v>
      </c>
      <c r="O35" s="9">
        <f t="shared" si="4"/>
        <v>5.745682227807133</v>
      </c>
    </row>
    <row r="36" spans="1:15" ht="15">
      <c r="A36" s="24"/>
      <c r="B36" s="4" t="s">
        <v>33</v>
      </c>
      <c r="C36" s="19" t="s">
        <v>89</v>
      </c>
      <c r="D36" s="4"/>
      <c r="E36" s="4"/>
      <c r="F36" s="36">
        <f>F34-F35</f>
        <v>21.087391065354566</v>
      </c>
      <c r="G36" s="39">
        <f>G34-G35</f>
        <v>35.563324048424846</v>
      </c>
      <c r="H36" s="25"/>
      <c r="J36">
        <f t="shared" si="0"/>
        <v>2046</v>
      </c>
      <c r="K36" s="8">
        <f t="shared" si="2"/>
        <v>25.86591890029574</v>
      </c>
      <c r="L36" s="8">
        <f t="shared" si="3"/>
        <v>4.248602382881452</v>
      </c>
      <c r="N36" s="8">
        <f t="shared" si="1"/>
        <v>33.49659929614779</v>
      </c>
      <c r="O36" s="9">
        <f t="shared" si="4"/>
        <v>5.501978574069199</v>
      </c>
    </row>
    <row r="37" spans="1:15" ht="15">
      <c r="A37" s="24"/>
      <c r="B37" s="4" t="s">
        <v>34</v>
      </c>
      <c r="C37" s="19" t="s">
        <v>90</v>
      </c>
      <c r="D37" s="4"/>
      <c r="E37" s="4"/>
      <c r="F37" s="20">
        <f>O41</f>
        <v>371.63540556011037</v>
      </c>
      <c r="G37" s="4"/>
      <c r="H37" s="40"/>
      <c r="J37">
        <f t="shared" si="0"/>
        <v>2047</v>
      </c>
      <c r="K37" s="8">
        <f t="shared" si="2"/>
        <v>26.12677669240522</v>
      </c>
      <c r="L37" s="8">
        <f t="shared" si="3"/>
        <v>4.048537299917747</v>
      </c>
      <c r="N37" s="8">
        <f t="shared" si="1"/>
        <v>34.00038814956185</v>
      </c>
      <c r="O37" s="9">
        <f t="shared" si="4"/>
        <v>5.268611633795471</v>
      </c>
    </row>
    <row r="38" spans="1:15" ht="15">
      <c r="A38" s="24"/>
      <c r="B38" s="45" t="s">
        <v>81</v>
      </c>
      <c r="C38" s="50" t="s">
        <v>92</v>
      </c>
      <c r="D38" s="1"/>
      <c r="E38" s="1"/>
      <c r="F38" s="18">
        <f>F$9*0.1*I38/100</f>
        <v>23.075071999999995</v>
      </c>
      <c r="G38" s="1"/>
      <c r="H38" s="25"/>
      <c r="I38">
        <f>100-I29</f>
        <v>39.19</v>
      </c>
      <c r="J38">
        <f t="shared" si="0"/>
        <v>2048</v>
      </c>
      <c r="K38" s="8">
        <f t="shared" si="2"/>
        <v>26.390265235348124</v>
      </c>
      <c r="L38" s="8">
        <f t="shared" si="3"/>
        <v>3.857893206214545</v>
      </c>
      <c r="N38" s="8">
        <f t="shared" si="1"/>
        <v>34.51175398733126</v>
      </c>
      <c r="O38" s="9">
        <f t="shared" si="4"/>
        <v>5.045142974309203</v>
      </c>
    </row>
    <row r="39" spans="1:15" ht="15">
      <c r="A39" s="24"/>
      <c r="B39" s="2" t="s">
        <v>82</v>
      </c>
      <c r="C39" s="13" t="s">
        <v>91</v>
      </c>
      <c r="F39" s="53">
        <f>SUM(F37:F38)</f>
        <v>394.71047756011035</v>
      </c>
      <c r="H39" s="57">
        <f>F39/F44</f>
        <v>0.39191978673842776</v>
      </c>
      <c r="J39">
        <f t="shared" si="0"/>
        <v>2049</v>
      </c>
      <c r="K39" s="8">
        <f t="shared" si="2"/>
        <v>26.656411060246608</v>
      </c>
      <c r="L39" s="8">
        <f t="shared" si="3"/>
        <v>3.6762264709426584</v>
      </c>
      <c r="N39" s="8">
        <f t="shared" si="1"/>
        <v>35.03081076730072</v>
      </c>
      <c r="O39" s="9">
        <f t="shared" si="4"/>
        <v>4.831152759096994</v>
      </c>
    </row>
    <row r="40" spans="1:15" ht="15">
      <c r="A40" s="24"/>
      <c r="H40" s="25"/>
      <c r="J40">
        <f t="shared" si="0"/>
        <v>2050</v>
      </c>
      <c r="K40" s="7">
        <f t="shared" si="2"/>
        <v>26.925240965789193</v>
      </c>
      <c r="L40" s="8">
        <f t="shared" si="3"/>
        <v>3.50311435368124</v>
      </c>
      <c r="N40" s="8">
        <f t="shared" si="1"/>
        <v>35.557674161240925</v>
      </c>
      <c r="O40" s="9">
        <f t="shared" si="4"/>
        <v>4.626238959050766</v>
      </c>
    </row>
    <row r="41" spans="1:15" ht="15">
      <c r="A41" s="24"/>
      <c r="B41" s="4" t="s">
        <v>61</v>
      </c>
      <c r="C41" s="19">
        <v>24</v>
      </c>
      <c r="D41" s="4"/>
      <c r="E41" s="4"/>
      <c r="F41" s="4">
        <v>1000</v>
      </c>
      <c r="G41" s="4"/>
      <c r="H41" s="25"/>
      <c r="J41">
        <f t="shared" si="0"/>
        <v>2051</v>
      </c>
      <c r="K41" s="8" t="s">
        <v>29</v>
      </c>
      <c r="L41" s="8">
        <f>SUM(L6:L40)</f>
        <v>312.6051607295041</v>
      </c>
      <c r="O41" s="8">
        <f>SUM(O6:O40)</f>
        <v>371.63540556011037</v>
      </c>
    </row>
    <row r="42" spans="1:14" ht="15">
      <c r="A42" s="24"/>
      <c r="B42" s="4" t="s">
        <v>63</v>
      </c>
      <c r="C42" s="19" t="s">
        <v>94</v>
      </c>
      <c r="D42" s="4"/>
      <c r="E42" s="4"/>
      <c r="F42" s="5">
        <f>F30-F29+F37</f>
        <v>948.2405662896145</v>
      </c>
      <c r="G42" s="44">
        <f>F42/F41</f>
        <v>0.9482405662896145</v>
      </c>
      <c r="H42" s="25"/>
      <c r="J42">
        <f t="shared" si="0"/>
        <v>2052</v>
      </c>
      <c r="N42" s="58">
        <v>0.01504</v>
      </c>
    </row>
    <row r="43" spans="1:10" ht="15">
      <c r="A43" s="24"/>
      <c r="B43" s="45" t="s">
        <v>83</v>
      </c>
      <c r="C43" s="14" t="s">
        <v>96</v>
      </c>
      <c r="D43" s="1"/>
      <c r="E43" s="1"/>
      <c r="F43" s="10">
        <f>0.1*F9</f>
        <v>58.879999999999995</v>
      </c>
      <c r="G43" s="1"/>
      <c r="H43" s="25"/>
      <c r="J43">
        <f t="shared" si="0"/>
        <v>2053</v>
      </c>
    </row>
    <row r="44" spans="1:10" ht="15">
      <c r="A44" s="28"/>
      <c r="B44" s="45" t="s">
        <v>93</v>
      </c>
      <c r="C44" s="52" t="s">
        <v>95</v>
      </c>
      <c r="D44" s="1"/>
      <c r="E44" s="1"/>
      <c r="F44" s="6">
        <f>SUM(F42:F43)</f>
        <v>1007.1205662896145</v>
      </c>
      <c r="G44" s="46">
        <f>F44/F41</f>
        <v>1.0071205662896145</v>
      </c>
      <c r="H44" s="29"/>
      <c r="J44">
        <f t="shared" si="0"/>
        <v>2054</v>
      </c>
    </row>
    <row r="45" ht="15">
      <c r="J45">
        <f t="shared" si="0"/>
        <v>2055</v>
      </c>
    </row>
    <row r="46" spans="1:10" ht="15">
      <c r="A46" s="3"/>
      <c r="J46">
        <f t="shared" si="0"/>
        <v>2056</v>
      </c>
    </row>
    <row r="47" spans="1:10" ht="15">
      <c r="A47" s="3"/>
      <c r="B47" s="16"/>
      <c r="J47">
        <f t="shared" si="0"/>
        <v>2057</v>
      </c>
    </row>
    <row r="48" spans="1:10" ht="15">
      <c r="A48" s="3"/>
      <c r="J48">
        <f t="shared" si="0"/>
        <v>2058</v>
      </c>
    </row>
    <row r="49" ht="15">
      <c r="J49">
        <f t="shared" si="0"/>
        <v>2059</v>
      </c>
    </row>
    <row r="50" ht="15">
      <c r="J50">
        <f t="shared" si="0"/>
        <v>2060</v>
      </c>
    </row>
  </sheetData>
  <sheetProtection/>
  <printOptions/>
  <pageMargins left="0.7" right="0.7" top="0.75" bottom="0.75" header="0.3" footer="0.3"/>
  <pageSetup horizontalDpi="600" verticalDpi="600" orientation="landscape" paperSize="17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50"/>
  <sheetViews>
    <sheetView zoomScalePageLayoutView="0" workbookViewId="0" topLeftCell="Q25">
      <selection activeCell="H53" sqref="H53"/>
    </sheetView>
  </sheetViews>
  <sheetFormatPr defaultColWidth="9.140625" defaultRowHeight="15"/>
  <cols>
    <col min="1" max="1" width="3.8515625" style="0" customWidth="1"/>
    <col min="2" max="2" width="31.00390625" style="0" customWidth="1"/>
    <col min="3" max="3" width="12.421875" style="0" customWidth="1"/>
    <col min="4" max="4" width="10.57421875" style="0" customWidth="1"/>
    <col min="5" max="5" width="10.28125" style="0" customWidth="1"/>
    <col min="6" max="6" width="9.8515625" style="0" customWidth="1"/>
    <col min="7" max="7" width="9.28125" style="0" customWidth="1"/>
  </cols>
  <sheetData>
    <row r="1" spans="1:8" ht="18.75">
      <c r="A1" s="21"/>
      <c r="B1" s="22"/>
      <c r="C1" s="30" t="s">
        <v>45</v>
      </c>
      <c r="D1" s="22"/>
      <c r="E1" s="22"/>
      <c r="F1" s="22"/>
      <c r="G1" s="22"/>
      <c r="H1" s="23"/>
    </row>
    <row r="2" spans="1:10" ht="18.75">
      <c r="A2" s="24"/>
      <c r="B2" s="31" t="s">
        <v>125</v>
      </c>
      <c r="C2" s="4"/>
      <c r="D2" s="4"/>
      <c r="E2" s="4"/>
      <c r="F2" s="4"/>
      <c r="G2" s="4"/>
      <c r="H2" s="25"/>
      <c r="J2" s="12">
        <f>'HQ500'!J2</f>
        <v>0.0128</v>
      </c>
    </row>
    <row r="3" spans="1:14" ht="15">
      <c r="A3" s="24"/>
      <c r="B3" s="4"/>
      <c r="C3" s="4"/>
      <c r="D3" s="4"/>
      <c r="E3" s="4"/>
      <c r="F3" s="4"/>
      <c r="G3" s="4"/>
      <c r="H3" s="25"/>
      <c r="K3" t="s">
        <v>35</v>
      </c>
      <c r="N3" t="s">
        <v>36</v>
      </c>
    </row>
    <row r="4" spans="1:12" ht="15">
      <c r="A4" s="24"/>
      <c r="B4" s="4"/>
      <c r="C4" s="4"/>
      <c r="D4" s="4" t="s">
        <v>0</v>
      </c>
      <c r="E4" s="4" t="s">
        <v>1</v>
      </c>
      <c r="F4" s="4" t="s">
        <v>6</v>
      </c>
      <c r="G4" s="4" t="s">
        <v>7</v>
      </c>
      <c r="H4" s="25"/>
      <c r="K4" s="11" t="s">
        <v>28</v>
      </c>
      <c r="L4" s="11">
        <v>2015</v>
      </c>
    </row>
    <row r="5" spans="1:17" ht="15">
      <c r="A5" s="27" t="s">
        <v>14</v>
      </c>
      <c r="B5" s="4"/>
      <c r="C5" s="4"/>
      <c r="D5" s="4"/>
      <c r="E5" s="4"/>
      <c r="F5" s="4"/>
      <c r="G5" s="4"/>
      <c r="H5" s="25"/>
      <c r="J5">
        <v>2015</v>
      </c>
      <c r="K5" s="8">
        <f>F25</f>
        <v>15.635085021601984</v>
      </c>
      <c r="L5" s="8"/>
      <c r="N5" s="7">
        <f>F36</f>
        <v>-0.0018850216019785648</v>
      </c>
      <c r="Q5">
        <v>2016</v>
      </c>
    </row>
    <row r="6" spans="1:17" ht="15">
      <c r="A6" s="24"/>
      <c r="B6" s="4" t="s">
        <v>15</v>
      </c>
      <c r="C6" s="4"/>
      <c r="D6" s="32" t="s">
        <v>16</v>
      </c>
      <c r="E6" s="32" t="s">
        <v>18</v>
      </c>
      <c r="F6" s="32" t="s">
        <v>17</v>
      </c>
      <c r="G6" s="4"/>
      <c r="H6" s="33" t="s">
        <v>40</v>
      </c>
      <c r="J6">
        <f aca="true" t="shared" si="0" ref="J6:J50">J5+1</f>
        <v>2016</v>
      </c>
      <c r="K6" s="8">
        <f>K5*(1+$I$26)</f>
        <v>15.792763290536339</v>
      </c>
      <c r="L6" s="8">
        <f>K6/(1.06^($J6-$J$5))</f>
        <v>14.898833292958809</v>
      </c>
      <c r="N6" s="8">
        <f aca="true" t="shared" si="1" ref="N6:N40">N5*(1+$N$42)</f>
        <v>-0.001898405255352613</v>
      </c>
      <c r="O6" s="9">
        <f>N6/(1.06^(J6-J$5))</f>
        <v>-0.0017909483541062386</v>
      </c>
      <c r="Q6">
        <v>2050</v>
      </c>
    </row>
    <row r="7" spans="1:15" ht="15">
      <c r="A7" s="24"/>
      <c r="B7" s="4" t="s">
        <v>41</v>
      </c>
      <c r="C7" s="19">
        <v>1</v>
      </c>
      <c r="D7" s="4"/>
      <c r="E7" s="4">
        <v>75</v>
      </c>
      <c r="F7" s="34">
        <v>800</v>
      </c>
      <c r="G7" s="4"/>
      <c r="H7" s="25"/>
      <c r="J7">
        <f t="shared" si="0"/>
        <v>2017</v>
      </c>
      <c r="K7" s="8">
        <f aca="true" t="shared" si="2" ref="K7:K40">K6*(1+I$26)</f>
        <v>15.95203172904507</v>
      </c>
      <c r="L7" s="8">
        <f aca="true" t="shared" si="3" ref="L7:L40">K7/(1.06^(J7-J$5))</f>
        <v>14.19725144984431</v>
      </c>
      <c r="N7" s="8">
        <f t="shared" si="1"/>
        <v>-0.0019118839326656167</v>
      </c>
      <c r="O7" s="9">
        <f aca="true" t="shared" si="4" ref="O7:O40">N7/(1.06^(J7-J$5))</f>
        <v>-0.0017015698937928234</v>
      </c>
    </row>
    <row r="8" spans="1:15" ht="15">
      <c r="A8" s="24"/>
      <c r="B8" s="1" t="s">
        <v>42</v>
      </c>
      <c r="C8" s="14">
        <v>2</v>
      </c>
      <c r="D8" s="1"/>
      <c r="E8" s="1"/>
      <c r="F8" s="1">
        <v>150</v>
      </c>
      <c r="G8" s="1"/>
      <c r="H8" s="35">
        <v>420.1</v>
      </c>
      <c r="J8">
        <f t="shared" si="0"/>
        <v>2018</v>
      </c>
      <c r="K8" s="8">
        <f t="shared" si="2"/>
        <v>16.11290637382932</v>
      </c>
      <c r="L8" s="8">
        <f t="shared" si="3"/>
        <v>13.528706897161175</v>
      </c>
      <c r="N8" s="8">
        <f t="shared" si="1"/>
        <v>-0.0019254583085875428</v>
      </c>
      <c r="O8" s="9">
        <f t="shared" si="4"/>
        <v>-0.0016166519245648609</v>
      </c>
    </row>
    <row r="9" spans="1:15" ht="15">
      <c r="A9" s="24"/>
      <c r="B9" s="2" t="s">
        <v>43</v>
      </c>
      <c r="C9" s="19" t="s">
        <v>78</v>
      </c>
      <c r="D9" s="4"/>
      <c r="E9" s="4">
        <f>E7</f>
        <v>75</v>
      </c>
      <c r="F9" s="34">
        <f>F7-F8-H8</f>
        <v>229.89999999999998</v>
      </c>
      <c r="G9" s="4"/>
      <c r="H9" s="25"/>
      <c r="J9">
        <f t="shared" si="0"/>
        <v>2019</v>
      </c>
      <c r="K9" s="8">
        <f t="shared" si="2"/>
        <v>16.27540342331875</v>
      </c>
      <c r="L9" s="8">
        <f t="shared" si="3"/>
        <v>12.891643918253166</v>
      </c>
      <c r="N9" s="8">
        <f t="shared" si="1"/>
        <v>-0.0019391290625785146</v>
      </c>
      <c r="O9" s="9">
        <f t="shared" si="4"/>
        <v>-0.001535971842669124</v>
      </c>
    </row>
    <row r="10" spans="1:15" ht="15">
      <c r="A10" s="24"/>
      <c r="B10" s="4"/>
      <c r="C10" s="19"/>
      <c r="D10" s="4"/>
      <c r="E10" s="4"/>
      <c r="F10" s="4"/>
      <c r="G10" s="4"/>
      <c r="H10" s="25"/>
      <c r="J10">
        <f t="shared" si="0"/>
        <v>2020</v>
      </c>
      <c r="K10" s="8">
        <f t="shared" si="2"/>
        <v>16.43953923930258</v>
      </c>
      <c r="L10" s="8">
        <f t="shared" si="3"/>
        <v>12.284580054721092</v>
      </c>
      <c r="N10" s="8">
        <f t="shared" si="1"/>
        <v>-0.0019528968789228223</v>
      </c>
      <c r="O10" s="9">
        <f t="shared" si="4"/>
        <v>-0.0014593181535396934</v>
      </c>
    </row>
    <row r="11" spans="1:15" ht="15">
      <c r="A11" s="27" t="s">
        <v>8</v>
      </c>
      <c r="B11" s="4"/>
      <c r="C11" s="4"/>
      <c r="D11" s="4"/>
      <c r="E11" s="4"/>
      <c r="F11" s="4"/>
      <c r="G11" s="4"/>
      <c r="H11" s="25"/>
      <c r="J11">
        <f t="shared" si="0"/>
        <v>2021</v>
      </c>
      <c r="K11" s="8">
        <f t="shared" si="2"/>
        <v>16.605330348577024</v>
      </c>
      <c r="L11" s="8">
        <f t="shared" si="3"/>
        <v>11.706102656712217</v>
      </c>
      <c r="N11" s="8">
        <f t="shared" si="1"/>
        <v>-0.0019667624467631746</v>
      </c>
      <c r="O11" s="9">
        <f t="shared" si="4"/>
        <v>-0.0013864899173866277</v>
      </c>
    </row>
    <row r="12" spans="1:15" ht="15">
      <c r="A12" s="24"/>
      <c r="B12" s="4" t="s">
        <v>75</v>
      </c>
      <c r="C12" s="19">
        <v>4</v>
      </c>
      <c r="D12" s="36">
        <v>80.5</v>
      </c>
      <c r="E12" s="36">
        <f>D12*1.013^5+E$9*0.068</f>
        <v>90.97032511069155</v>
      </c>
      <c r="F12" s="36">
        <f>E12*(1+J2)^7+F$9*0.068</f>
        <v>115.0742257589906</v>
      </c>
      <c r="G12" s="36">
        <f>F12*(1+J2)^35+G$9*0.068</f>
        <v>179.60040229404876</v>
      </c>
      <c r="H12" s="25"/>
      <c r="J12">
        <f t="shared" si="0"/>
        <v>2022</v>
      </c>
      <c r="K12" s="8">
        <f t="shared" si="2"/>
        <v>16.772793444609388</v>
      </c>
      <c r="L12" s="8">
        <f t="shared" si="3"/>
        <v>11.154865595655558</v>
      </c>
      <c r="N12" s="8">
        <f t="shared" si="1"/>
        <v>-0.0019807264601351933</v>
      </c>
      <c r="O12" s="9">
        <f t="shared" si="4"/>
        <v>-0.0013172962224528987</v>
      </c>
    </row>
    <row r="13" spans="1:15" ht="15">
      <c r="A13" s="24"/>
      <c r="B13" s="47"/>
      <c r="C13" s="4"/>
      <c r="D13" s="4"/>
      <c r="E13" s="4"/>
      <c r="F13" s="4"/>
      <c r="G13" s="4"/>
      <c r="H13" s="25"/>
      <c r="J13">
        <f t="shared" si="0"/>
        <v>2023</v>
      </c>
      <c r="K13" s="8">
        <f t="shared" si="2"/>
        <v>16.94194538921893</v>
      </c>
      <c r="L13" s="8">
        <f t="shared" si="3"/>
        <v>10.629586131793573</v>
      </c>
      <c r="N13" s="8">
        <f t="shared" si="1"/>
        <v>-0.001994789618002153</v>
      </c>
      <c r="O13" s="9">
        <f t="shared" si="4"/>
        <v>-0.0012515556845587872</v>
      </c>
    </row>
    <row r="14" spans="1:15" ht="15">
      <c r="A14" s="27" t="s">
        <v>9</v>
      </c>
      <c r="B14" s="4"/>
      <c r="C14" s="37"/>
      <c r="D14" s="4"/>
      <c r="E14" s="4"/>
      <c r="F14" s="4"/>
      <c r="G14" s="4"/>
      <c r="H14" s="25"/>
      <c r="J14">
        <f t="shared" si="0"/>
        <v>2024</v>
      </c>
      <c r="K14" s="8">
        <f t="shared" si="2"/>
        <v>17.112803214274663</v>
      </c>
      <c r="L14" s="8">
        <f t="shared" si="3"/>
        <v>10.129041929220847</v>
      </c>
      <c r="N14" s="8">
        <f t="shared" si="1"/>
        <v>-0.0020089526242899687</v>
      </c>
      <c r="O14" s="9">
        <f t="shared" si="4"/>
        <v>-0.001189095971621844</v>
      </c>
    </row>
    <row r="15" spans="1:15" ht="15">
      <c r="A15" s="24"/>
      <c r="B15" s="4" t="s">
        <v>5</v>
      </c>
      <c r="C15" s="19">
        <v>5</v>
      </c>
      <c r="D15" s="4">
        <v>2100</v>
      </c>
      <c r="E15" s="4">
        <v>2100</v>
      </c>
      <c r="F15" s="4">
        <v>1900</v>
      </c>
      <c r="G15" s="5">
        <f>F15*1.005^35</f>
        <v>2262.381091705955</v>
      </c>
      <c r="H15" s="25"/>
      <c r="J15">
        <f t="shared" si="0"/>
        <v>2025</v>
      </c>
      <c r="K15" s="8">
        <f t="shared" si="2"/>
        <v>17.285384123410303</v>
      </c>
      <c r="L15" s="8">
        <f t="shared" si="3"/>
        <v>9.652068211483817</v>
      </c>
      <c r="N15" s="8">
        <f t="shared" si="1"/>
        <v>-0.0020232161879224276</v>
      </c>
      <c r="O15" s="9">
        <f t="shared" si="4"/>
        <v>-0.0011297533519059992</v>
      </c>
    </row>
    <row r="16" spans="1:15" ht="15">
      <c r="A16" s="24"/>
      <c r="B16" s="4" t="s">
        <v>2</v>
      </c>
      <c r="C16" s="19">
        <v>6</v>
      </c>
      <c r="D16" s="4">
        <v>720</v>
      </c>
      <c r="E16" s="4">
        <v>1080</v>
      </c>
      <c r="F16" s="4">
        <v>1580</v>
      </c>
      <c r="G16" s="4">
        <v>1580</v>
      </c>
      <c r="H16" s="25"/>
      <c r="J16">
        <f t="shared" si="0"/>
        <v>2026</v>
      </c>
      <c r="K16" s="8">
        <f t="shared" si="2"/>
        <v>17.459705493756484</v>
      </c>
      <c r="L16" s="8">
        <f t="shared" si="3"/>
        <v>9.19755505112246</v>
      </c>
      <c r="N16" s="8">
        <f t="shared" si="1"/>
        <v>-0.002037581022856677</v>
      </c>
      <c r="O16" s="9">
        <f t="shared" si="4"/>
        <v>-0.001073372264815596</v>
      </c>
    </row>
    <row r="17" spans="1:15" ht="15">
      <c r="A17" s="24"/>
      <c r="B17" s="1" t="s">
        <v>3</v>
      </c>
      <c r="C17" s="14">
        <v>7</v>
      </c>
      <c r="D17" s="1">
        <v>300</v>
      </c>
      <c r="E17" s="1">
        <v>250</v>
      </c>
      <c r="F17" s="1">
        <v>200</v>
      </c>
      <c r="G17" s="1">
        <v>200</v>
      </c>
      <c r="H17" s="25"/>
      <c r="J17">
        <f t="shared" si="0"/>
        <v>2027</v>
      </c>
      <c r="K17" s="8">
        <f t="shared" si="2"/>
        <v>17.63578487769047</v>
      </c>
      <c r="L17" s="8">
        <f t="shared" si="3"/>
        <v>8.764444786846722</v>
      </c>
      <c r="N17" s="8">
        <f t="shared" si="1"/>
        <v>-0.0020520478481189596</v>
      </c>
      <c r="O17" s="9">
        <f t="shared" si="4"/>
        <v>-0.0010198049131092328</v>
      </c>
    </row>
    <row r="18" spans="1:15" ht="15">
      <c r="A18" s="24"/>
      <c r="B18" s="2" t="s">
        <v>4</v>
      </c>
      <c r="C18" s="15" t="s">
        <v>12</v>
      </c>
      <c r="D18" s="4">
        <f>SUM(D15:D17)</f>
        <v>3120</v>
      </c>
      <c r="E18" s="4">
        <f>SUM(E15:E17)</f>
        <v>3430</v>
      </c>
      <c r="F18" s="4">
        <f>SUM(F15:F17)</f>
        <v>3680</v>
      </c>
      <c r="G18" s="5">
        <f>SUM(G15:G17)</f>
        <v>4042.381091705955</v>
      </c>
      <c r="H18" s="25"/>
      <c r="J18">
        <f t="shared" si="0"/>
        <v>2028</v>
      </c>
      <c r="K18" s="8">
        <f t="shared" si="2"/>
        <v>17.813640004603492</v>
      </c>
      <c r="L18" s="8">
        <f t="shared" si="3"/>
        <v>8.351729562337352</v>
      </c>
      <c r="N18" s="8">
        <f t="shared" si="1"/>
        <v>-0.0020666173878406044</v>
      </c>
      <c r="O18" s="9">
        <f t="shared" si="4"/>
        <v>-0.0009689108754644417</v>
      </c>
    </row>
    <row r="19" spans="1:15" ht="15">
      <c r="A19" s="24"/>
      <c r="B19" s="4"/>
      <c r="C19" s="4"/>
      <c r="D19" s="4"/>
      <c r="E19" s="4"/>
      <c r="F19" s="4"/>
      <c r="G19" s="4"/>
      <c r="H19" s="25"/>
      <c r="J19">
        <f t="shared" si="0"/>
        <v>2029</v>
      </c>
      <c r="K19" s="8">
        <f t="shared" si="2"/>
        <v>17.99328878268592</v>
      </c>
      <c r="L19" s="8">
        <f t="shared" si="3"/>
        <v>7.958448980943933</v>
      </c>
      <c r="N19" s="8">
        <f t="shared" si="1"/>
        <v>-0.002081290371294273</v>
      </c>
      <c r="O19" s="9">
        <f t="shared" si="4"/>
        <v>-0.0009205567383775844</v>
      </c>
    </row>
    <row r="20" spans="1:15" ht="15">
      <c r="A20" s="27" t="s">
        <v>77</v>
      </c>
      <c r="B20" s="4"/>
      <c r="C20" s="4"/>
      <c r="D20" s="4"/>
      <c r="E20" s="4"/>
      <c r="F20" s="4"/>
      <c r="G20" s="4"/>
      <c r="H20" s="25"/>
      <c r="J20">
        <f t="shared" si="0"/>
        <v>2030</v>
      </c>
      <c r="K20" s="8">
        <f t="shared" si="2"/>
        <v>18.17474930073043</v>
      </c>
      <c r="L20" s="8">
        <f t="shared" si="3"/>
        <v>7.583687870822502</v>
      </c>
      <c r="N20" s="8">
        <f t="shared" si="1"/>
        <v>-0.0020960675329304624</v>
      </c>
      <c r="O20" s="9">
        <f t="shared" si="4"/>
        <v>-0.0008746157464340237</v>
      </c>
    </row>
    <row r="21" spans="1:15" ht="15">
      <c r="A21" s="24"/>
      <c r="B21" s="4" t="s">
        <v>74</v>
      </c>
      <c r="C21" s="19" t="s">
        <v>13</v>
      </c>
      <c r="D21" s="36">
        <f>D12/D18*1000</f>
        <v>25.80128205128205</v>
      </c>
      <c r="E21" s="36">
        <f>E12/E18*1000</f>
        <v>26.521960673671003</v>
      </c>
      <c r="F21" s="36">
        <f>F12/F18*1000</f>
        <v>31.27017004320397</v>
      </c>
      <c r="G21" s="36">
        <f>G12/G18*1000</f>
        <v>44.42935938488033</v>
      </c>
      <c r="H21" s="25"/>
      <c r="J21">
        <f t="shared" si="0"/>
        <v>2031</v>
      </c>
      <c r="K21" s="8">
        <f t="shared" si="2"/>
        <v>18.358039829953366</v>
      </c>
      <c r="L21" s="8">
        <f t="shared" si="3"/>
        <v>7.226574155312228</v>
      </c>
      <c r="N21" s="8">
        <f t="shared" si="1"/>
        <v>-0.002110949612414269</v>
      </c>
      <c r="O21" s="9">
        <f t="shared" si="4"/>
        <v>-0.0008309674700317977</v>
      </c>
    </row>
    <row r="22" spans="1:15" ht="15">
      <c r="A22" s="24"/>
      <c r="B22" s="4"/>
      <c r="C22" s="4"/>
      <c r="D22" s="4"/>
      <c r="E22" s="4"/>
      <c r="F22" s="4"/>
      <c r="G22" s="4"/>
      <c r="H22" s="25"/>
      <c r="J22">
        <f t="shared" si="0"/>
        <v>2032</v>
      </c>
      <c r="K22" s="8">
        <f t="shared" si="2"/>
        <v>18.543178825834463</v>
      </c>
      <c r="L22" s="8">
        <f t="shared" si="3"/>
        <v>6.886276823595411</v>
      </c>
      <c r="N22" s="8">
        <f t="shared" si="1"/>
        <v>-0.0021259373546624106</v>
      </c>
      <c r="O22" s="9">
        <f t="shared" si="4"/>
        <v>-0.000789497489687758</v>
      </c>
    </row>
    <row r="23" spans="1:15" ht="15">
      <c r="A23" s="27" t="s">
        <v>71</v>
      </c>
      <c r="B23" s="4"/>
      <c r="C23" s="37"/>
      <c r="D23" s="4"/>
      <c r="E23" s="4"/>
      <c r="F23" s="4"/>
      <c r="G23" s="4"/>
      <c r="H23" s="25"/>
      <c r="J23">
        <f t="shared" si="0"/>
        <v>2033</v>
      </c>
      <c r="K23" s="8">
        <f t="shared" si="2"/>
        <v>18.730184929975124</v>
      </c>
      <c r="L23" s="8">
        <f t="shared" si="3"/>
        <v>6.562003996918575</v>
      </c>
      <c r="N23" s="8">
        <f t="shared" si="1"/>
        <v>-0.002141031509880514</v>
      </c>
      <c r="O23" s="9">
        <f t="shared" si="4"/>
        <v>-0.0007500970960986238</v>
      </c>
    </row>
    <row r="24" spans="1:15" ht="15">
      <c r="A24" s="24"/>
      <c r="B24" s="4" t="s">
        <v>20</v>
      </c>
      <c r="C24" s="19">
        <v>10</v>
      </c>
      <c r="D24" s="4"/>
      <c r="E24" s="4"/>
      <c r="F24" s="34">
        <v>500</v>
      </c>
      <c r="G24" s="34">
        <v>500</v>
      </c>
      <c r="H24" s="25"/>
      <c r="J24">
        <f t="shared" si="0"/>
        <v>2034</v>
      </c>
      <c r="K24" s="8">
        <f t="shared" si="2"/>
        <v>18.919076971975432</v>
      </c>
      <c r="L24" s="8">
        <f t="shared" si="3"/>
        <v>6.253001085874622</v>
      </c>
      <c r="N24" s="8">
        <f t="shared" si="1"/>
        <v>-0.002156232833600666</v>
      </c>
      <c r="O24" s="9">
        <f t="shared" si="4"/>
        <v>-0.0007126630051706831</v>
      </c>
    </row>
    <row r="25" spans="1:15" ht="15">
      <c r="A25" s="24"/>
      <c r="B25" s="4" t="s">
        <v>21</v>
      </c>
      <c r="C25" s="19" t="s">
        <v>79</v>
      </c>
      <c r="D25" s="4"/>
      <c r="E25" s="4"/>
      <c r="F25" s="36">
        <f>F24*F21/1000</f>
        <v>15.635085021601984</v>
      </c>
      <c r="G25" s="39">
        <f>G24*G21/1000</f>
        <v>22.214679692440164</v>
      </c>
      <c r="H25" s="38">
        <f>K40</f>
        <v>22.21396098055194</v>
      </c>
      <c r="I25" s="48" t="s">
        <v>19</v>
      </c>
      <c r="J25">
        <f t="shared" si="0"/>
        <v>2035</v>
      </c>
      <c r="K25" s="8">
        <f t="shared" si="2"/>
        <v>19.10987397133011</v>
      </c>
      <c r="L25" s="8">
        <f t="shared" si="3"/>
        <v>5.958549034458076</v>
      </c>
      <c r="N25" s="8">
        <f t="shared" si="1"/>
        <v>-0.002171542086719231</v>
      </c>
      <c r="O25" s="9">
        <f t="shared" si="4"/>
        <v>-0.0006770970872711274</v>
      </c>
    </row>
    <row r="26" spans="1:15" ht="15">
      <c r="A26" s="24"/>
      <c r="B26" s="26" t="s">
        <v>22</v>
      </c>
      <c r="C26" s="19" t="s">
        <v>80</v>
      </c>
      <c r="D26" s="4"/>
      <c r="E26" s="4"/>
      <c r="F26" s="20">
        <f>L41</f>
        <v>257.90720947093047</v>
      </c>
      <c r="G26" s="4"/>
      <c r="H26" s="25"/>
      <c r="I26" s="54">
        <v>0.0100849</v>
      </c>
      <c r="J26">
        <f t="shared" si="0"/>
        <v>2036</v>
      </c>
      <c r="K26" s="8">
        <f t="shared" si="2"/>
        <v>19.302595139343577</v>
      </c>
      <c r="L26" s="8">
        <f t="shared" si="3"/>
        <v>5.677962646807246</v>
      </c>
      <c r="N26" s="8">
        <f t="shared" si="1"/>
        <v>-0.002186960035534938</v>
      </c>
      <c r="O26" s="9">
        <f t="shared" si="4"/>
        <v>-0.0006433061099912758</v>
      </c>
    </row>
    <row r="27" spans="1:15" ht="15">
      <c r="A27" s="24"/>
      <c r="B27" s="4" t="s">
        <v>44</v>
      </c>
      <c r="C27" s="19" t="s">
        <v>106</v>
      </c>
      <c r="D27" s="4"/>
      <c r="E27" s="4"/>
      <c r="F27" s="20">
        <f>H8*1.25</f>
        <v>525.125</v>
      </c>
      <c r="G27" s="4"/>
      <c r="H27" s="25"/>
      <c r="J27">
        <f t="shared" si="0"/>
        <v>2037</v>
      </c>
      <c r="K27" s="8">
        <f t="shared" si="2"/>
        <v>19.497259881064345</v>
      </c>
      <c r="L27" s="8">
        <f t="shared" si="3"/>
        <v>5.410588992739654</v>
      </c>
      <c r="N27" s="8">
        <f t="shared" si="1"/>
        <v>-0.002202487451787236</v>
      </c>
      <c r="O27" s="9">
        <f t="shared" si="4"/>
        <v>-0.0006112014937473716</v>
      </c>
    </row>
    <row r="28" spans="1:15" ht="15">
      <c r="A28" s="24"/>
      <c r="B28" s="4" t="s">
        <v>23</v>
      </c>
      <c r="C28" s="19" t="s">
        <v>97</v>
      </c>
      <c r="D28" s="4"/>
      <c r="E28" s="4"/>
      <c r="F28" s="34">
        <f>150*1.25</f>
        <v>187.5</v>
      </c>
      <c r="G28" s="4"/>
      <c r="H28" s="25"/>
      <c r="J28">
        <f t="shared" si="0"/>
        <v>2038</v>
      </c>
      <c r="K28" s="8">
        <f t="shared" si="2"/>
        <v>19.69388779723889</v>
      </c>
      <c r="L28" s="8">
        <f t="shared" si="3"/>
        <v>5.155805888370314</v>
      </c>
      <c r="N28" s="8">
        <f t="shared" si="1"/>
        <v>-0.0022181251126949255</v>
      </c>
      <c r="O28" s="9">
        <f t="shared" si="4"/>
        <v>-0.000580699079578281</v>
      </c>
    </row>
    <row r="29" spans="1:15" ht="15">
      <c r="A29" s="24"/>
      <c r="B29" s="45" t="s">
        <v>81</v>
      </c>
      <c r="C29" s="52" t="s">
        <v>86</v>
      </c>
      <c r="D29" s="1"/>
      <c r="E29" s="1"/>
      <c r="F29" s="18">
        <f>F$9*0.1*I29/100</f>
        <v>22.99</v>
      </c>
      <c r="G29" s="1"/>
      <c r="H29" s="25"/>
      <c r="I29" s="24">
        <v>100</v>
      </c>
      <c r="J29">
        <f t="shared" si="0"/>
        <v>2039</v>
      </c>
      <c r="K29" s="8">
        <f t="shared" si="2"/>
        <v>19.892498686285265</v>
      </c>
      <c r="L29" s="8">
        <f t="shared" si="3"/>
        <v>4.913020448277302</v>
      </c>
      <c r="N29" s="8">
        <f t="shared" si="1"/>
        <v>-0.0022338738009950597</v>
      </c>
      <c r="O29" s="9">
        <f t="shared" si="4"/>
        <v>-0.0005517189085314028</v>
      </c>
    </row>
    <row r="30" spans="1:15" ht="15">
      <c r="A30" s="24"/>
      <c r="B30" s="2" t="s">
        <v>24</v>
      </c>
      <c r="C30" s="19" t="s">
        <v>87</v>
      </c>
      <c r="D30" s="4"/>
      <c r="E30" s="4"/>
      <c r="F30" s="20">
        <f>SUM(F26:F29)</f>
        <v>993.5222094709304</v>
      </c>
      <c r="G30" s="4"/>
      <c r="H30" s="57">
        <f>F30/F44</f>
        <v>1.0000301016385942</v>
      </c>
      <c r="J30">
        <f t="shared" si="0"/>
        <v>2040</v>
      </c>
      <c r="K30" s="8">
        <f t="shared" si="2"/>
        <v>20.093112546286584</v>
      </c>
      <c r="L30" s="8">
        <f t="shared" si="3"/>
        <v>4.68166770584541</v>
      </c>
      <c r="N30" s="8">
        <f t="shared" si="1"/>
        <v>-0.002249734304982125</v>
      </c>
      <c r="O30" s="9">
        <f t="shared" si="4"/>
        <v>-0.0005241850120584677</v>
      </c>
    </row>
    <row r="31" spans="1:15" ht="15">
      <c r="A31" s="24"/>
      <c r="B31" s="4"/>
      <c r="C31" s="4"/>
      <c r="D31" s="4"/>
      <c r="E31" s="4"/>
      <c r="F31" s="4"/>
      <c r="G31" s="4"/>
      <c r="H31" s="25"/>
      <c r="I31" s="24"/>
      <c r="J31">
        <f t="shared" si="0"/>
        <v>2041</v>
      </c>
      <c r="K31" s="8">
        <f t="shared" si="2"/>
        <v>20.29574957700463</v>
      </c>
      <c r="L31" s="8">
        <f t="shared" si="3"/>
        <v>4.461209298577444</v>
      </c>
      <c r="N31" s="8">
        <f t="shared" si="1"/>
        <v>-0.0022657074185474984</v>
      </c>
      <c r="O31" s="9">
        <f t="shared" si="4"/>
        <v>-0.0004980252128717763</v>
      </c>
    </row>
    <row r="32" spans="1:15" ht="15">
      <c r="A32" s="27" t="s">
        <v>38</v>
      </c>
      <c r="B32" s="41"/>
      <c r="C32" s="4"/>
      <c r="D32" s="4"/>
      <c r="E32" s="4"/>
      <c r="F32" s="4"/>
      <c r="G32" s="4"/>
      <c r="H32" s="25"/>
      <c r="J32">
        <f t="shared" si="0"/>
        <v>2042</v>
      </c>
      <c r="K32" s="8">
        <f t="shared" si="2"/>
        <v>20.500430181913767</v>
      </c>
      <c r="L32" s="8">
        <f t="shared" si="3"/>
        <v>4.251132215313837</v>
      </c>
      <c r="N32" s="8">
        <f t="shared" si="1"/>
        <v>-0.0022817939412191858</v>
      </c>
      <c r="O32" s="9">
        <f t="shared" si="4"/>
        <v>-0.0004731709357388357</v>
      </c>
    </row>
    <row r="33" spans="1:15" ht="15">
      <c r="A33" s="24"/>
      <c r="B33" s="4" t="s">
        <v>47</v>
      </c>
      <c r="C33" s="19">
        <v>17</v>
      </c>
      <c r="D33" s="4">
        <f>D18-D24</f>
        <v>3120</v>
      </c>
      <c r="E33" s="4">
        <f>E18-E24</f>
        <v>3430</v>
      </c>
      <c r="F33" s="4">
        <f>F18-F24</f>
        <v>3180</v>
      </c>
      <c r="G33" s="5">
        <f>G18-G24</f>
        <v>3542.381091705955</v>
      </c>
      <c r="H33" s="25"/>
      <c r="J33">
        <f t="shared" si="0"/>
        <v>2043</v>
      </c>
      <c r="K33" s="8">
        <f t="shared" si="2"/>
        <v>20.707174970255352</v>
      </c>
      <c r="L33" s="8">
        <f t="shared" si="3"/>
        <v>4.050947602445335</v>
      </c>
      <c r="N33" s="8">
        <f t="shared" si="1"/>
        <v>-0.002297994678201842</v>
      </c>
      <c r="O33" s="9">
        <f t="shared" si="4"/>
        <v>-0.0004495570277194165</v>
      </c>
    </row>
    <row r="34" spans="1:15" ht="15">
      <c r="A34" s="24"/>
      <c r="B34" s="4" t="s">
        <v>21</v>
      </c>
      <c r="C34" s="37" t="s">
        <v>88</v>
      </c>
      <c r="D34" s="4"/>
      <c r="E34" s="4"/>
      <c r="F34" s="36">
        <f>F33*F21/1000</f>
        <v>99.43914073738861</v>
      </c>
      <c r="G34" s="36">
        <f>G33*G21/1000</f>
        <v>157.38572260160862</v>
      </c>
      <c r="H34" s="25"/>
      <c r="J34">
        <f t="shared" si="0"/>
        <v>2044</v>
      </c>
      <c r="K34" s="8">
        <f t="shared" si="2"/>
        <v>20.91600475911288</v>
      </c>
      <c r="L34" s="8">
        <f t="shared" si="3"/>
        <v>3.8601896263407887</v>
      </c>
      <c r="N34" s="8">
        <f t="shared" si="1"/>
        <v>-0.0023143104404170756</v>
      </c>
      <c r="O34" s="9">
        <f t="shared" si="4"/>
        <v>-0.0004271215873737966</v>
      </c>
    </row>
    <row r="35" spans="1:15" ht="15">
      <c r="A35" s="24"/>
      <c r="B35" s="1" t="s">
        <v>32</v>
      </c>
      <c r="C35" s="14">
        <v>19</v>
      </c>
      <c r="D35" s="1"/>
      <c r="E35" s="1"/>
      <c r="F35" s="10">
        <f>Base!F30</f>
        <v>99.44102575899059</v>
      </c>
      <c r="G35" s="10">
        <f>Base!G30</f>
        <v>155.20111574117826</v>
      </c>
      <c r="H35" s="25"/>
      <c r="J35">
        <f t="shared" si="0"/>
        <v>2045</v>
      </c>
      <c r="K35" s="8">
        <f t="shared" si="2"/>
        <v>21.12694057550806</v>
      </c>
      <c r="L35" s="8">
        <f t="shared" si="3"/>
        <v>3.6784143893428993</v>
      </c>
      <c r="N35" s="8">
        <f t="shared" si="1"/>
        <v>-0.002330742044544037</v>
      </c>
      <c r="O35" s="9">
        <f t="shared" si="4"/>
        <v>-0.0004058058024944817</v>
      </c>
    </row>
    <row r="36" spans="1:15" ht="15">
      <c r="A36" s="24"/>
      <c r="B36" s="4" t="s">
        <v>33</v>
      </c>
      <c r="C36" s="19" t="s">
        <v>89</v>
      </c>
      <c r="D36" s="4"/>
      <c r="E36" s="4"/>
      <c r="F36" s="39">
        <f>F34-F35</f>
        <v>-0.0018850216019785648</v>
      </c>
      <c r="G36" s="39">
        <f>G34-G35</f>
        <v>2.184606860430364</v>
      </c>
      <c r="H36" s="25"/>
      <c r="J36">
        <f t="shared" si="0"/>
        <v>2046</v>
      </c>
      <c r="K36" s="8">
        <f t="shared" si="2"/>
        <v>21.340003658518</v>
      </c>
      <c r="L36" s="8">
        <f t="shared" si="3"/>
        <v>3.5051988968094174</v>
      </c>
      <c r="N36" s="8">
        <f t="shared" si="1"/>
        <v>-0.0023472903130603</v>
      </c>
      <c r="O36" s="9">
        <f t="shared" si="4"/>
        <v>-0.00038555379593603064</v>
      </c>
    </row>
    <row r="37" spans="1:15" ht="15">
      <c r="A37" s="24"/>
      <c r="B37" s="4" t="s">
        <v>34</v>
      </c>
      <c r="C37" s="19" t="s">
        <v>90</v>
      </c>
      <c r="D37" s="4"/>
      <c r="E37" s="4"/>
      <c r="F37" s="20">
        <f>O41</f>
        <v>-0.029905746272955322</v>
      </c>
      <c r="G37" s="4"/>
      <c r="H37" s="55"/>
      <c r="J37">
        <f t="shared" si="0"/>
        <v>2047</v>
      </c>
      <c r="K37" s="8">
        <f t="shared" si="2"/>
        <v>21.55521546141379</v>
      </c>
      <c r="L37" s="8">
        <f t="shared" si="3"/>
        <v>3.340140072796087</v>
      </c>
      <c r="N37" s="8">
        <f t="shared" si="1"/>
        <v>-0.0023639560742830285</v>
      </c>
      <c r="O37" s="9">
        <f t="shared" si="4"/>
        <v>-0.0003663124791388458</v>
      </c>
    </row>
    <row r="38" spans="1:15" ht="15">
      <c r="A38" s="24"/>
      <c r="B38" s="45" t="s">
        <v>81</v>
      </c>
      <c r="C38" s="50" t="s">
        <v>92</v>
      </c>
      <c r="D38" s="1"/>
      <c r="E38" s="1"/>
      <c r="F38" s="18">
        <f>F$9*0.1*I38/100</f>
        <v>0</v>
      </c>
      <c r="G38" s="1"/>
      <c r="H38" s="25"/>
      <c r="I38">
        <f>100-I29</f>
        <v>0</v>
      </c>
      <c r="J38">
        <f t="shared" si="0"/>
        <v>2048</v>
      </c>
      <c r="K38" s="8">
        <f t="shared" si="2"/>
        <v>21.772597653820604</v>
      </c>
      <c r="L38" s="8">
        <f t="shared" si="3"/>
        <v>3.1828538220907814</v>
      </c>
      <c r="N38" s="8">
        <f t="shared" si="1"/>
        <v>-0.002380740162410438</v>
      </c>
      <c r="O38" s="9">
        <f t="shared" si="4"/>
        <v>-0.00034803141296295436</v>
      </c>
    </row>
    <row r="39" spans="1:15" ht="15">
      <c r="A39" s="24"/>
      <c r="B39" s="2" t="s">
        <v>82</v>
      </c>
      <c r="C39" s="19" t="s">
        <v>91</v>
      </c>
      <c r="D39" s="4"/>
      <c r="E39" s="4"/>
      <c r="F39" s="20">
        <f>SUM(F37:F38)</f>
        <v>-0.029905746272955322</v>
      </c>
      <c r="G39" s="4"/>
      <c r="H39" s="55">
        <f>F39/F44</f>
        <v>-3.0101638594317266E-05</v>
      </c>
      <c r="J39">
        <f t="shared" si="0"/>
        <v>2049</v>
      </c>
      <c r="K39" s="8">
        <f t="shared" si="2"/>
        <v>21.99217212389962</v>
      </c>
      <c r="L39" s="8">
        <f t="shared" si="3"/>
        <v>3.0329741364162115</v>
      </c>
      <c r="N39" s="8">
        <f t="shared" si="1"/>
        <v>-0.0023976434175635524</v>
      </c>
      <c r="O39" s="9">
        <f t="shared" si="4"/>
        <v>-0.00033066267546697295</v>
      </c>
    </row>
    <row r="40" spans="1:15" ht="15">
      <c r="A40" s="24"/>
      <c r="B40" s="4"/>
      <c r="C40" s="4"/>
      <c r="D40" s="4"/>
      <c r="E40" s="4"/>
      <c r="F40" s="4"/>
      <c r="G40" s="4"/>
      <c r="H40" s="25"/>
      <c r="J40">
        <f t="shared" si="0"/>
        <v>2050</v>
      </c>
      <c r="K40" s="7">
        <f t="shared" si="2"/>
        <v>22.21396098055194</v>
      </c>
      <c r="L40" s="8">
        <f t="shared" si="3"/>
        <v>2.8901522427212787</v>
      </c>
      <c r="N40" s="8">
        <f t="shared" si="1"/>
        <v>-0.0024146666858282538</v>
      </c>
      <c r="O40" s="9">
        <f t="shared" si="4"/>
        <v>-0.0003141607362856495</v>
      </c>
    </row>
    <row r="41" spans="1:15" ht="15">
      <c r="A41" s="24"/>
      <c r="B41" s="4" t="s">
        <v>61</v>
      </c>
      <c r="C41" s="19">
        <v>24</v>
      </c>
      <c r="D41" s="4"/>
      <c r="E41" s="4"/>
      <c r="F41" s="4">
        <v>1000</v>
      </c>
      <c r="G41" s="4"/>
      <c r="H41" s="25"/>
      <c r="J41">
        <f t="shared" si="0"/>
        <v>2051</v>
      </c>
      <c r="K41" s="8" t="s">
        <v>29</v>
      </c>
      <c r="L41" s="8">
        <f>SUM(L6:L40)</f>
        <v>257.90720947093047</v>
      </c>
      <c r="O41" s="8">
        <f>SUM(O6:O40)</f>
        <v>-0.029905746272955322</v>
      </c>
    </row>
    <row r="42" spans="1:14" ht="15">
      <c r="A42" s="24"/>
      <c r="B42" s="4" t="s">
        <v>63</v>
      </c>
      <c r="C42" s="19" t="s">
        <v>94</v>
      </c>
      <c r="D42" s="4"/>
      <c r="E42" s="4"/>
      <c r="F42" s="5">
        <f>F30-F29+F37</f>
        <v>970.5023037246575</v>
      </c>
      <c r="G42" s="44">
        <f>F42/F41</f>
        <v>0.9705023037246575</v>
      </c>
      <c r="H42" s="25"/>
      <c r="J42">
        <f t="shared" si="0"/>
        <v>2052</v>
      </c>
      <c r="N42" s="43">
        <v>0.0071</v>
      </c>
    </row>
    <row r="43" spans="1:10" ht="15">
      <c r="A43" s="24"/>
      <c r="B43" s="45" t="s">
        <v>83</v>
      </c>
      <c r="C43" s="14" t="s">
        <v>96</v>
      </c>
      <c r="D43" s="1"/>
      <c r="E43" s="1"/>
      <c r="F43" s="10">
        <f>0.1*F9</f>
        <v>22.99</v>
      </c>
      <c r="G43" s="1"/>
      <c r="H43" s="25"/>
      <c r="J43">
        <f t="shared" si="0"/>
        <v>2053</v>
      </c>
    </row>
    <row r="44" spans="1:10" ht="15">
      <c r="A44" s="28"/>
      <c r="B44" s="45" t="s">
        <v>93</v>
      </c>
      <c r="C44" s="52" t="s">
        <v>95</v>
      </c>
      <c r="D44" s="1"/>
      <c r="E44" s="1"/>
      <c r="F44" s="6">
        <f>SUM(F42:F43)</f>
        <v>993.4923037246575</v>
      </c>
      <c r="G44" s="46">
        <f>F44/F41</f>
        <v>0.9934923037246575</v>
      </c>
      <c r="H44" s="29"/>
      <c r="J44">
        <f t="shared" si="0"/>
        <v>2054</v>
      </c>
    </row>
    <row r="45" ht="15">
      <c r="J45">
        <f t="shared" si="0"/>
        <v>2055</v>
      </c>
    </row>
    <row r="46" spans="1:10" ht="15">
      <c r="A46" s="3"/>
      <c r="J46">
        <f t="shared" si="0"/>
        <v>2056</v>
      </c>
    </row>
    <row r="47" spans="1:10" ht="15">
      <c r="A47" s="3"/>
      <c r="B47" s="16"/>
      <c r="J47">
        <f t="shared" si="0"/>
        <v>2057</v>
      </c>
    </row>
    <row r="48" spans="1:10" ht="15">
      <c r="A48" s="3"/>
      <c r="J48">
        <f t="shared" si="0"/>
        <v>2058</v>
      </c>
    </row>
    <row r="49" ht="15">
      <c r="J49">
        <f t="shared" si="0"/>
        <v>2059</v>
      </c>
    </row>
    <row r="50" ht="15">
      <c r="J50">
        <f t="shared" si="0"/>
        <v>2060</v>
      </c>
    </row>
  </sheetData>
  <sheetProtection/>
  <printOptions/>
  <pageMargins left="0.7" right="0.7" top="0.75" bottom="0.75" header="0.3" footer="0.3"/>
  <pageSetup horizontalDpi="600" verticalDpi="600" orientation="landscape" paperSize="17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WKM</dc:creator>
  <cp:keywords/>
  <dc:description/>
  <cp:lastModifiedBy>MacLean-Collins, Nikki</cp:lastModifiedBy>
  <cp:lastPrinted>2013-03-01T18:07:08Z</cp:lastPrinted>
  <dcterms:created xsi:type="dcterms:W3CDTF">2010-01-09T21:44:58Z</dcterms:created>
  <dcterms:modified xsi:type="dcterms:W3CDTF">2013-03-01T18:14:14Z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4PP4YDNXZNSS-11-1884</vt:lpwstr>
  </property>
  <property fmtid="{D5CDD505-2E9C-101B-9397-08002B2CF9AE}" pid="3" name="_dlc_DocIdItemGuid">
    <vt:lpwstr>468039be-7a7c-426f-a5d4-12ec261c9100</vt:lpwstr>
  </property>
  <property fmtid="{D5CDD505-2E9C-101B-9397-08002B2CF9AE}" pid="4" name="_dlc_DocIdUrl">
    <vt:lpwstr>http://companies.emera.com/emera/ENLReg/_layouts/DocIdRedir.aspx?ID=4PP4YDNXZNSS-11-1884, 4PP4YDNXZNSS-11-1884</vt:lpwstr>
  </property>
  <property fmtid="{D5CDD505-2E9C-101B-9397-08002B2CF9AE}" pid="5" name="MetadataSecurityLog">
    <vt:lpwstr>&lt;Log Date="-8588386698680680061" Reason="ItemUpdated" Error=""&gt;&lt;Rule Message="" Name="PM" /&gt;&lt;/Log&gt;</vt:lpwstr>
  </property>
  <property fmtid="{D5CDD505-2E9C-101B-9397-08002B2CF9AE}" pid="6" name="IR_Requester">
    <vt:lpwstr>8</vt:lpwstr>
  </property>
  <property fmtid="{D5CDD505-2E9C-101B-9397-08002B2CF9AE}" pid="7" name="IR_Responder">
    <vt:lpwstr>0</vt:lpwstr>
  </property>
  <property fmtid="{D5CDD505-2E9C-101B-9397-08002B2CF9AE}" pid="8" name="NSPI">
    <vt:lpwstr>0</vt:lpwstr>
  </property>
  <property fmtid="{D5CDD505-2E9C-101B-9397-08002B2CF9AE}" pid="9" name="Owner">
    <vt:lpwstr>69</vt:lpwstr>
  </property>
  <property fmtid="{D5CDD505-2E9C-101B-9397-08002B2CF9AE}" pid="10" name="IR_Received_Date">
    <vt:lpwstr>2013-02-25T00:00:00Z</vt:lpwstr>
  </property>
  <property fmtid="{D5CDD505-2E9C-101B-9397-08002B2CF9AE}" pid="11" name="IR_Review_Sorting">
    <vt:lpwstr>completed by RA</vt:lpwstr>
  </property>
  <property fmtid="{D5CDD505-2E9C-101B-9397-08002B2CF9AE}" pid="12" name="IR_Reviewers">
    <vt:lpwstr/>
  </property>
  <property fmtid="{D5CDD505-2E9C-101B-9397-08002B2CF9AE}" pid="13" name="IR_Topic">
    <vt:lpwstr>98</vt:lpwstr>
  </property>
  <property fmtid="{D5CDD505-2E9C-101B-9397-08002B2CF9AE}" pid="14" name="display_urn:schemas-microsoft-com:office:office#IR_Writer">
    <vt:lpwstr>DONNELLY, ALLISON</vt:lpwstr>
  </property>
  <property fmtid="{D5CDD505-2E9C-101B-9397-08002B2CF9AE}" pid="15" name="IR_Writer">
    <vt:lpwstr>69</vt:lpwstr>
  </property>
  <property fmtid="{D5CDD505-2E9C-101B-9397-08002B2CF9AE}" pid="16" name="IR_Subtopic">
    <vt:lpwstr>38</vt:lpwstr>
  </property>
  <property fmtid="{D5CDD505-2E9C-101B-9397-08002B2CF9AE}" pid="17" name="IR_Filling_Dat">
    <vt:lpwstr>2013-03-11T00:00:00Z</vt:lpwstr>
  </property>
  <property fmtid="{D5CDD505-2E9C-101B-9397-08002B2CF9AE}" pid="18" name="IR_Status">
    <vt:lpwstr>12</vt:lpwstr>
  </property>
  <property fmtid="{D5CDD505-2E9C-101B-9397-08002B2CF9AE}" pid="19" name="display_urn:schemas-microsoft-com:office:office#Owner">
    <vt:lpwstr>DONNELLY, ALLISON</vt:lpwstr>
  </property>
  <property fmtid="{D5CDD505-2E9C-101B-9397-08002B2CF9AE}" pid="20" name="ContentTypeId">
    <vt:lpwstr>0x01010020A7FEED53593641BE8E90FC930B63F0</vt:lpwstr>
  </property>
  <property fmtid="{D5CDD505-2E9C-101B-9397-08002B2CF9AE}" pid="21" name="Order">
    <vt:lpwstr>188400.000000000</vt:lpwstr>
  </property>
</Properties>
</file>