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035" windowWidth="19215" windowHeight="4080" tabRatio="773"/>
  </bookViews>
  <sheets>
    <sheet name="Inputs" sheetId="29" r:id="rId1"/>
    <sheet name="Rate Base Model" sheetId="19" r:id="rId2"/>
    <sheet name="Firm Purchase Revenue Reqmnt" sheetId="9" r:id="rId3"/>
    <sheet name="Surplus Energy OI Option" sheetId="31" r:id="rId4"/>
    <sheet name="Surplus Energy Price Summary" sheetId="26" r:id="rId5"/>
    <sheet name="Base Tx" sheetId="28" r:id="rId6"/>
    <sheet name="HQ500Adj" sheetId="30" r:id="rId7"/>
    <sheet name="ESAI - Q3 - Base Case" sheetId="21" r:id="rId8"/>
  </sheets>
  <externalReferences>
    <externalReference r:id="rId9"/>
    <externalReference r:id="rId10"/>
    <externalReference r:id="rId11"/>
  </externalReferences>
  <definedNames>
    <definedName name="_Fill" localSheetId="3" hidden="1">#REF!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hidden="1">#REF!</definedName>
    <definedName name="ForEx" localSheetId="3">'[1]Firm Purchase Revenue Reqmnt'!$B$58</definedName>
    <definedName name="ForEx">'Firm Purchase Revenue Reqmnt'!$B$58</definedName>
    <definedName name="_xlnm.Print_Area" localSheetId="2">'Firm Purchase Revenue Reqmnt'!$A$1:$AP$53,'Firm Purchase Revenue Reqmnt'!$A$55:$J$74</definedName>
    <definedName name="_xlnm.Print_Area" localSheetId="0">Inputs!$A$1:$D$29</definedName>
    <definedName name="_xlnm.Print_Area" localSheetId="4">'Surplus Energy Price Summary'!#REF!,'Surplus Energy Price Summary'!#REF!</definedName>
  </definedNames>
  <calcPr calcId="144525" iterate="1"/>
</workbook>
</file>

<file path=xl/calcChain.xml><?xml version="1.0" encoding="utf-8"?>
<calcChain xmlns="http://schemas.openxmlformats.org/spreadsheetml/2006/main">
  <c r="D29" i="31" l="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B50" i="19" l="1"/>
  <c r="AV81" i="19"/>
  <c r="AV72" i="19"/>
  <c r="AV62" i="19"/>
  <c r="AV49" i="19"/>
  <c r="AV48" i="19"/>
  <c r="AV31" i="19"/>
  <c r="AV29" i="19"/>
  <c r="AV26" i="19"/>
  <c r="AV25" i="19"/>
  <c r="AV24" i="19"/>
  <c r="AV23" i="19"/>
  <c r="AV22" i="19"/>
  <c r="AV27" i="19" s="1"/>
  <c r="AV74" i="19" s="1"/>
  <c r="AV21" i="19"/>
  <c r="AV19" i="19"/>
  <c r="AV17" i="19"/>
  <c r="AV16" i="19"/>
  <c r="AV15" i="19"/>
  <c r="AV14" i="19"/>
  <c r="AV12" i="19"/>
  <c r="AV11" i="19"/>
  <c r="AV10" i="19"/>
  <c r="AV3" i="19"/>
  <c r="AV79" i="19" s="1"/>
  <c r="AV2" i="19"/>
  <c r="AV78" i="19" s="1"/>
  <c r="AU50" i="19"/>
  <c r="AV58" i="19" l="1"/>
  <c r="AV75" i="19"/>
  <c r="AV82" i="19"/>
  <c r="AV83" i="19" s="1"/>
  <c r="AV32" i="19" s="1"/>
  <c r="AV38" i="19"/>
  <c r="AV55" i="19"/>
  <c r="AV30" i="19"/>
  <c r="AV47" i="19"/>
  <c r="AV50" i="19" s="1"/>
  <c r="AV51" i="19" s="1"/>
  <c r="AV52" i="19" s="1"/>
  <c r="AV54" i="19"/>
  <c r="C2" i="29"/>
  <c r="I37" i="30"/>
  <c r="G35" i="30"/>
  <c r="F35" i="30"/>
  <c r="F28" i="30"/>
  <c r="F27" i="30"/>
  <c r="F18" i="30"/>
  <c r="F33" i="30" s="1"/>
  <c r="E18" i="30"/>
  <c r="E33" i="30" s="1"/>
  <c r="D18" i="30"/>
  <c r="D33" i="30" s="1"/>
  <c r="G15" i="30"/>
  <c r="G18" i="30" s="1"/>
  <c r="G33" i="30" s="1"/>
  <c r="E9" i="30"/>
  <c r="E12" i="30" s="1"/>
  <c r="J7" i="30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F7" i="30"/>
  <c r="F9" i="30" s="1"/>
  <c r="J6" i="30"/>
  <c r="J2" i="30"/>
  <c r="AV34" i="19" l="1"/>
  <c r="AV33" i="19"/>
  <c r="AV57" i="19" s="1"/>
  <c r="F38" i="30"/>
  <c r="F29" i="30"/>
  <c r="F43" i="30"/>
  <c r="E21" i="30"/>
  <c r="F12" i="30"/>
  <c r="D21" i="30"/>
  <c r="F21" i="30" l="1"/>
  <c r="C21" i="29" s="1"/>
  <c r="G12" i="30"/>
  <c r="G21" i="30" s="1"/>
  <c r="F25" i="30" l="1"/>
  <c r="K5" i="30" s="1"/>
  <c r="K6" i="30" s="1"/>
  <c r="F34" i="30"/>
  <c r="F36" i="30" s="1"/>
  <c r="N5" i="30" s="1"/>
  <c r="N6" i="30" s="1"/>
  <c r="G25" i="30"/>
  <c r="G34" i="30"/>
  <c r="G36" i="30" s="1"/>
  <c r="O6" i="30" l="1"/>
  <c r="N7" i="30"/>
  <c r="K7" i="30"/>
  <c r="L6" i="30"/>
  <c r="N8" i="30" l="1"/>
  <c r="O7" i="30"/>
  <c r="K8" i="30"/>
  <c r="L7" i="30"/>
  <c r="O8" i="30" l="1"/>
  <c r="N9" i="30"/>
  <c r="K9" i="30"/>
  <c r="L8" i="30"/>
  <c r="K10" i="30" l="1"/>
  <c r="L9" i="30"/>
  <c r="N10" i="30"/>
  <c r="O9" i="30"/>
  <c r="N11" i="30" l="1"/>
  <c r="O10" i="30"/>
  <c r="K11" i="30"/>
  <c r="L10" i="30"/>
  <c r="O11" i="30" l="1"/>
  <c r="N12" i="30"/>
  <c r="L11" i="30"/>
  <c r="K12" i="30"/>
  <c r="K13" i="30" l="1"/>
  <c r="L12" i="30"/>
  <c r="N13" i="30"/>
  <c r="O12" i="30"/>
  <c r="K14" i="30" l="1"/>
  <c r="L13" i="30"/>
  <c r="N14" i="30"/>
  <c r="O13" i="30"/>
  <c r="N15" i="30" l="1"/>
  <c r="O14" i="30"/>
  <c r="L14" i="30"/>
  <c r="K15" i="30"/>
  <c r="K16" i="30" l="1"/>
  <c r="L15" i="30"/>
  <c r="N16" i="30"/>
  <c r="O15" i="30"/>
  <c r="K17" i="30" l="1"/>
  <c r="L16" i="30"/>
  <c r="N17" i="30"/>
  <c r="O16" i="30"/>
  <c r="N18" i="30" l="1"/>
  <c r="O17" i="30"/>
  <c r="K18" i="30"/>
  <c r="L17" i="30"/>
  <c r="K19" i="30" l="1"/>
  <c r="L18" i="30"/>
  <c r="N19" i="30"/>
  <c r="O18" i="30"/>
  <c r="N20" i="30" l="1"/>
  <c r="O19" i="30"/>
  <c r="K20" i="30"/>
  <c r="L19" i="30"/>
  <c r="K21" i="30" l="1"/>
  <c r="L20" i="30"/>
  <c r="N21" i="30"/>
  <c r="O20" i="30"/>
  <c r="K22" i="30" l="1"/>
  <c r="L21" i="30"/>
  <c r="N22" i="30"/>
  <c r="O21" i="30"/>
  <c r="N23" i="30" l="1"/>
  <c r="O22" i="30"/>
  <c r="K23" i="30"/>
  <c r="L22" i="30"/>
  <c r="N24" i="30" l="1"/>
  <c r="O23" i="30"/>
  <c r="K24" i="30"/>
  <c r="L23" i="30"/>
  <c r="L24" i="30" l="1"/>
  <c r="K25" i="30"/>
  <c r="N25" i="30"/>
  <c r="O24" i="30"/>
  <c r="N26" i="30" l="1"/>
  <c r="O25" i="30"/>
  <c r="K26" i="30"/>
  <c r="L25" i="30"/>
  <c r="K27" i="30" l="1"/>
  <c r="L26" i="30"/>
  <c r="N27" i="30"/>
  <c r="O26" i="30"/>
  <c r="N28" i="30" l="1"/>
  <c r="O27" i="30"/>
  <c r="K28" i="30"/>
  <c r="L27" i="30"/>
  <c r="K29" i="30" l="1"/>
  <c r="L28" i="30"/>
  <c r="N29" i="30"/>
  <c r="O28" i="30"/>
  <c r="N30" i="30" l="1"/>
  <c r="O29" i="30"/>
  <c r="L29" i="30"/>
  <c r="K30" i="30"/>
  <c r="K31" i="30" l="1"/>
  <c r="L30" i="30"/>
  <c r="N31" i="30"/>
  <c r="O30" i="30"/>
  <c r="N32" i="30" l="1"/>
  <c r="O31" i="30"/>
  <c r="K32" i="30"/>
  <c r="L31" i="30"/>
  <c r="K33" i="30" l="1"/>
  <c r="L32" i="30"/>
  <c r="N33" i="30"/>
  <c r="O32" i="30"/>
  <c r="O33" i="30" l="1"/>
  <c r="N34" i="30"/>
  <c r="K34" i="30"/>
  <c r="L33" i="30"/>
  <c r="L34" i="30" l="1"/>
  <c r="K35" i="30"/>
  <c r="N35" i="30"/>
  <c r="O34" i="30"/>
  <c r="N36" i="30" l="1"/>
  <c r="O35" i="30"/>
  <c r="L35" i="30"/>
  <c r="K36" i="30"/>
  <c r="K37" i="30" l="1"/>
  <c r="L36" i="30"/>
  <c r="O36" i="30"/>
  <c r="N37" i="30"/>
  <c r="N38" i="30" l="1"/>
  <c r="O37" i="30"/>
  <c r="K38" i="30"/>
  <c r="L37" i="30"/>
  <c r="L38" i="30" l="1"/>
  <c r="K39" i="30"/>
  <c r="N39" i="30"/>
  <c r="O38" i="30"/>
  <c r="N40" i="30" l="1"/>
  <c r="O40" i="30" s="1"/>
  <c r="O39" i="30"/>
  <c r="K40" i="30"/>
  <c r="L39" i="30"/>
  <c r="O41" i="30" l="1"/>
  <c r="F37" i="30" s="1"/>
  <c r="F39" i="30" s="1"/>
  <c r="H25" i="30"/>
  <c r="L40" i="30"/>
  <c r="L41" i="30" s="1"/>
  <c r="F26" i="30" s="1"/>
  <c r="F30" i="30" s="1"/>
  <c r="F42" i="30" l="1"/>
  <c r="F44" i="30" l="1"/>
  <c r="G42" i="30"/>
  <c r="G44" i="30" l="1"/>
  <c r="H39" i="30"/>
  <c r="H30" i="30"/>
  <c r="C4" i="19" l="1"/>
  <c r="AO53" i="9" l="1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E9" i="9"/>
  <c r="D9" i="9"/>
  <c r="C9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8" i="19"/>
  <c r="C29" i="29"/>
  <c r="P9" i="9"/>
  <c r="O8" i="9"/>
  <c r="N8" i="9"/>
  <c r="C26" i="29"/>
  <c r="F9" i="9"/>
  <c r="C17" i="29"/>
  <c r="C16" i="29"/>
  <c r="C18" i="29" s="1"/>
  <c r="B9" i="9"/>
  <c r="C17" i="19"/>
  <c r="C16" i="19"/>
  <c r="C14" i="19"/>
  <c r="C6" i="29"/>
  <c r="C15" i="19" s="1"/>
  <c r="C5" i="19" l="1"/>
  <c r="E5" i="19" s="1"/>
  <c r="Q48" i="28"/>
  <c r="Q47" i="28"/>
  <c r="Q49" i="28" s="1"/>
  <c r="E22" i="28"/>
  <c r="D22" i="28"/>
  <c r="D25" i="28" s="1"/>
  <c r="G20" i="28"/>
  <c r="F20" i="28"/>
  <c r="F22" i="28" s="1"/>
  <c r="G19" i="28"/>
  <c r="G22" i="28" s="1"/>
  <c r="D16" i="28"/>
  <c r="D26" i="28" s="1"/>
  <c r="E15" i="28"/>
  <c r="E16" i="28" s="1"/>
  <c r="E26" i="28" s="1"/>
  <c r="F14" i="28"/>
  <c r="E12" i="28"/>
  <c r="J9" i="28"/>
  <c r="J10" i="28" s="1"/>
  <c r="J11" i="28" s="1"/>
  <c r="J12" i="28" s="1"/>
  <c r="J13" i="28" s="1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34" i="28" s="1"/>
  <c r="J35" i="28" s="1"/>
  <c r="J36" i="28" s="1"/>
  <c r="J37" i="28" s="1"/>
  <c r="J38" i="28" s="1"/>
  <c r="J39" i="28" s="1"/>
  <c r="J40" i="28" s="1"/>
  <c r="J41" i="28" s="1"/>
  <c r="J42" i="28" s="1"/>
  <c r="J43" i="28" s="1"/>
  <c r="J44" i="28" s="1"/>
  <c r="J45" i="28" s="1"/>
  <c r="J46" i="28" s="1"/>
  <c r="J47" i="28" s="1"/>
  <c r="J48" i="28" s="1"/>
  <c r="J49" i="28" s="1"/>
  <c r="J50" i="28" s="1"/>
  <c r="J51" i="28" s="1"/>
  <c r="J52" i="28" s="1"/>
  <c r="J53" i="28" s="1"/>
  <c r="S8" i="28"/>
  <c r="S9" i="28" s="1"/>
  <c r="P8" i="28"/>
  <c r="P9" i="28" s="1"/>
  <c r="J2" i="28"/>
  <c r="F12" i="28" l="1"/>
  <c r="F25" i="28" s="1"/>
  <c r="G29" i="28"/>
  <c r="T9" i="28"/>
  <c r="S10" i="28"/>
  <c r="P10" i="28"/>
  <c r="Q9" i="28"/>
  <c r="F29" i="28"/>
  <c r="G14" i="28"/>
  <c r="F15" i="28"/>
  <c r="G15" i="28" s="1"/>
  <c r="E25" i="28"/>
  <c r="H25" i="28" l="1"/>
  <c r="F30" i="28"/>
  <c r="K8" i="28" s="1"/>
  <c r="K9" i="28" s="1"/>
  <c r="L9" i="28" s="1"/>
  <c r="G12" i="28"/>
  <c r="G25" i="28" s="1"/>
  <c r="G30" i="28" s="1"/>
  <c r="F16" i="28"/>
  <c r="F26" i="28" s="1"/>
  <c r="G16" i="28"/>
  <c r="G26" i="28" s="1"/>
  <c r="P11" i="28"/>
  <c r="Q10" i="28"/>
  <c r="T10" i="28"/>
  <c r="S11" i="28"/>
  <c r="K10" i="28" l="1"/>
  <c r="L10" i="28" s="1"/>
  <c r="S12" i="28"/>
  <c r="T11" i="28"/>
  <c r="Q11" i="28"/>
  <c r="P12" i="28"/>
  <c r="K11" i="28" l="1"/>
  <c r="K12" i="28" s="1"/>
  <c r="P13" i="28"/>
  <c r="Q12" i="28"/>
  <c r="T12" i="28"/>
  <c r="S13" i="28"/>
  <c r="N52" i="9" l="1"/>
  <c r="N48" i="9"/>
  <c r="N44" i="9"/>
  <c r="N40" i="9"/>
  <c r="N36" i="9"/>
  <c r="N32" i="9"/>
  <c r="N28" i="9"/>
  <c r="N24" i="9"/>
  <c r="N20" i="9"/>
  <c r="N16" i="9"/>
  <c r="N12" i="9"/>
  <c r="N51" i="9"/>
  <c r="N47" i="9"/>
  <c r="N43" i="9"/>
  <c r="N39" i="9"/>
  <c r="N35" i="9"/>
  <c r="N31" i="9"/>
  <c r="N27" i="9"/>
  <c r="N23" i="9"/>
  <c r="N19" i="9"/>
  <c r="N15" i="9"/>
  <c r="N11" i="9"/>
  <c r="N50" i="9"/>
  <c r="N46" i="9"/>
  <c r="N42" i="9"/>
  <c r="N38" i="9"/>
  <c r="N34" i="9"/>
  <c r="N30" i="9"/>
  <c r="N26" i="9"/>
  <c r="N22" i="9"/>
  <c r="N18" i="9"/>
  <c r="N14" i="9"/>
  <c r="N10" i="9"/>
  <c r="Q10" i="9" s="1"/>
  <c r="N53" i="9"/>
  <c r="N49" i="9"/>
  <c r="N45" i="9"/>
  <c r="N41" i="9"/>
  <c r="N37" i="9"/>
  <c r="N33" i="9"/>
  <c r="N29" i="9"/>
  <c r="N25" i="9"/>
  <c r="N21" i="9"/>
  <c r="N17" i="9"/>
  <c r="N13" i="9"/>
  <c r="N9" i="9"/>
  <c r="L11" i="28"/>
  <c r="S14" i="28"/>
  <c r="T13" i="28"/>
  <c r="P14" i="28"/>
  <c r="Q13" i="28"/>
  <c r="L12" i="28"/>
  <c r="K13" i="28"/>
  <c r="Q9" i="9" l="1"/>
  <c r="Q11" i="9"/>
  <c r="K14" i="28"/>
  <c r="L13" i="28"/>
  <c r="P15" i="28"/>
  <c r="Q14" i="28"/>
  <c r="T14" i="28"/>
  <c r="S15" i="28"/>
  <c r="Q12" i="9" l="1"/>
  <c r="L14" i="28"/>
  <c r="K15" i="28"/>
  <c r="Q15" i="28"/>
  <c r="P16" i="28"/>
  <c r="S16" i="28"/>
  <c r="T15" i="28"/>
  <c r="Q13" i="9" l="1"/>
  <c r="Q16" i="28"/>
  <c r="P17" i="28"/>
  <c r="K16" i="28"/>
  <c r="L15" i="28"/>
  <c r="S17" i="28"/>
  <c r="T16" i="28"/>
  <c r="Q14" i="9" l="1"/>
  <c r="K17" i="28"/>
  <c r="L16" i="28"/>
  <c r="T17" i="28"/>
  <c r="S18" i="28"/>
  <c r="P18" i="28"/>
  <c r="Q17" i="28"/>
  <c r="Q15" i="9" l="1"/>
  <c r="P19" i="28"/>
  <c r="Q18" i="28"/>
  <c r="L17" i="28"/>
  <c r="K18" i="28"/>
  <c r="T18" i="28"/>
  <c r="S19" i="28"/>
  <c r="Q16" i="9" l="1"/>
  <c r="L18" i="28"/>
  <c r="K19" i="28"/>
  <c r="S20" i="28"/>
  <c r="T19" i="28"/>
  <c r="P20" i="28"/>
  <c r="Q19" i="28"/>
  <c r="Q17" i="9" l="1"/>
  <c r="K20" i="28"/>
  <c r="L19" i="28"/>
  <c r="P21" i="28"/>
  <c r="Q20" i="28"/>
  <c r="T20" i="28"/>
  <c r="S21" i="28"/>
  <c r="Q18" i="9" l="1"/>
  <c r="P22" i="28"/>
  <c r="Q21" i="28"/>
  <c r="T21" i="28"/>
  <c r="S22" i="28"/>
  <c r="L20" i="28"/>
  <c r="K21" i="28"/>
  <c r="Q19" i="9" l="1"/>
  <c r="L21" i="28"/>
  <c r="K22" i="28"/>
  <c r="Q22" i="28"/>
  <c r="P23" i="28"/>
  <c r="S23" i="28"/>
  <c r="T22" i="28"/>
  <c r="Q20" i="9" l="1"/>
  <c r="K23" i="28"/>
  <c r="L22" i="28"/>
  <c r="Q23" i="28"/>
  <c r="P24" i="28"/>
  <c r="S24" i="28"/>
  <c r="T23" i="28"/>
  <c r="Q21" i="9" l="1"/>
  <c r="T24" i="28"/>
  <c r="S25" i="28"/>
  <c r="K24" i="28"/>
  <c r="L23" i="28"/>
  <c r="Q24" i="28"/>
  <c r="P25" i="28"/>
  <c r="Q22" i="9" l="1"/>
  <c r="P26" i="28"/>
  <c r="Q25" i="28"/>
  <c r="T25" i="28"/>
  <c r="S26" i="28"/>
  <c r="L24" i="28"/>
  <c r="K25" i="28"/>
  <c r="Q23" i="9" l="1"/>
  <c r="P27" i="28"/>
  <c r="Q26" i="28"/>
  <c r="T26" i="28"/>
  <c r="S27" i="28"/>
  <c r="L25" i="28"/>
  <c r="K26" i="28"/>
  <c r="Q24" i="9" l="1"/>
  <c r="L26" i="28"/>
  <c r="K27" i="28"/>
  <c r="Q27" i="28"/>
  <c r="P28" i="28"/>
  <c r="S28" i="28"/>
  <c r="T27" i="28"/>
  <c r="Q25" i="9" l="1"/>
  <c r="K28" i="28"/>
  <c r="L27" i="28"/>
  <c r="S29" i="28"/>
  <c r="T28" i="28"/>
  <c r="P29" i="28"/>
  <c r="Q28" i="28"/>
  <c r="Q26" i="9" l="1"/>
  <c r="S30" i="28"/>
  <c r="T29" i="28"/>
  <c r="P30" i="28"/>
  <c r="Q29" i="28"/>
  <c r="K29" i="28"/>
  <c r="L28" i="28"/>
  <c r="Q27" i="9" l="1"/>
  <c r="P31" i="28"/>
  <c r="Q30" i="28"/>
  <c r="K30" i="28"/>
  <c r="L29" i="28"/>
  <c r="T30" i="28"/>
  <c r="S31" i="28"/>
  <c r="Q28" i="9" l="1"/>
  <c r="T31" i="28"/>
  <c r="S32" i="28"/>
  <c r="L30" i="28"/>
  <c r="K31" i="28"/>
  <c r="Q31" i="28"/>
  <c r="P32" i="28"/>
  <c r="Q29" i="9" l="1"/>
  <c r="Q32" i="28"/>
  <c r="P33" i="28"/>
  <c r="L31" i="28"/>
  <c r="K32" i="28"/>
  <c r="S33" i="28"/>
  <c r="T32" i="28"/>
  <c r="Q30" i="9" l="1"/>
  <c r="Q33" i="28"/>
  <c r="P34" i="28"/>
  <c r="S34" i="28"/>
  <c r="T33" i="28"/>
  <c r="K33" i="28"/>
  <c r="L32" i="28"/>
  <c r="Q31" i="9" l="1"/>
  <c r="P35" i="28"/>
  <c r="Q34" i="28"/>
  <c r="T34" i="28"/>
  <c r="S35" i="28"/>
  <c r="K34" i="28"/>
  <c r="L33" i="28"/>
  <c r="Q32" i="9" l="1"/>
  <c r="L34" i="28"/>
  <c r="K35" i="28"/>
  <c r="P36" i="28"/>
  <c r="Q35" i="28"/>
  <c r="T35" i="28"/>
  <c r="S36" i="28"/>
  <c r="Q33" i="9" l="1"/>
  <c r="S37" i="28"/>
  <c r="T36" i="28"/>
  <c r="Q36" i="28"/>
  <c r="P37" i="28"/>
  <c r="L35" i="28"/>
  <c r="K36" i="28"/>
  <c r="Q34" i="9" l="1"/>
  <c r="K37" i="28"/>
  <c r="L36" i="28"/>
  <c r="S38" i="28"/>
  <c r="T37" i="28"/>
  <c r="Q37" i="28"/>
  <c r="P38" i="28"/>
  <c r="Q35" i="9" l="1"/>
  <c r="T38" i="28"/>
  <c r="S39" i="28"/>
  <c r="K38" i="28"/>
  <c r="L37" i="28"/>
  <c r="P39" i="28"/>
  <c r="Q38" i="28"/>
  <c r="Q36" i="9" l="1"/>
  <c r="T39" i="28"/>
  <c r="S40" i="28"/>
  <c r="P40" i="28"/>
  <c r="Q39" i="28"/>
  <c r="L38" i="28"/>
  <c r="K39" i="28"/>
  <c r="Q37" i="9" l="1"/>
  <c r="Q40" i="28"/>
  <c r="P41" i="28"/>
  <c r="L39" i="28"/>
  <c r="K40" i="28"/>
  <c r="S41" i="28"/>
  <c r="T40" i="28"/>
  <c r="Q38" i="9" l="1"/>
  <c r="Q41" i="28"/>
  <c r="P42" i="28"/>
  <c r="S42" i="28"/>
  <c r="T41" i="28"/>
  <c r="K41" i="28"/>
  <c r="L40" i="28"/>
  <c r="Q39" i="9" l="1"/>
  <c r="T42" i="28"/>
  <c r="S43" i="28"/>
  <c r="K42" i="28"/>
  <c r="L41" i="28"/>
  <c r="P43" i="28"/>
  <c r="Q43" i="28" s="1"/>
  <c r="Q42" i="28"/>
  <c r="Q40" i="9" l="1"/>
  <c r="Q44" i="28"/>
  <c r="L42" i="28"/>
  <c r="K43" i="28"/>
  <c r="L43" i="28" s="1"/>
  <c r="S44" i="28"/>
  <c r="T43" i="28"/>
  <c r="U44" i="28" s="1"/>
  <c r="L44" i="28" l="1"/>
  <c r="F32" i="28" s="1"/>
  <c r="Q41" i="9"/>
  <c r="T44" i="28"/>
  <c r="S45" i="28"/>
  <c r="Q42" i="9" l="1"/>
  <c r="T45" i="28"/>
  <c r="S46" i="28"/>
  <c r="Q43" i="9" l="1"/>
  <c r="T46" i="28"/>
  <c r="S47" i="28"/>
  <c r="Q44" i="9" l="1"/>
  <c r="T47" i="28"/>
  <c r="S48" i="28"/>
  <c r="Q45" i="9" l="1"/>
  <c r="T48" i="28"/>
  <c r="S49" i="28"/>
  <c r="Q46" i="9" l="1"/>
  <c r="T49" i="28"/>
  <c r="S50" i="28"/>
  <c r="Q47" i="9" l="1"/>
  <c r="S51" i="28"/>
  <c r="T50" i="28"/>
  <c r="Q48" i="9" l="1"/>
  <c r="S52" i="28"/>
  <c r="T51" i="28"/>
  <c r="Q49" i="9" l="1"/>
  <c r="T52" i="28"/>
  <c r="S53" i="28"/>
  <c r="T53" i="28" s="1"/>
  <c r="T54" i="28" s="1"/>
  <c r="T6" i="28" s="1"/>
  <c r="Q50" i="9" l="1"/>
  <c r="Q51" i="9" l="1"/>
  <c r="Q53" i="9" l="1"/>
  <c r="Q52" i="9"/>
  <c r="A296" i="26" l="1"/>
  <c r="W9" i="9" l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F73" i="9"/>
  <c r="E73" i="9"/>
  <c r="P10" i="9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J292" i="26" l="1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M406" i="21"/>
  <c r="B10" i="9"/>
  <c r="B11" i="9" s="1"/>
  <c r="B12" i="9" s="1"/>
  <c r="F10" i="9"/>
  <c r="F11" i="9" s="1"/>
  <c r="F12" i="9" s="1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E8" i="9"/>
  <c r="D8" i="9"/>
  <c r="C8" i="9"/>
  <c r="AE9" i="9"/>
  <c r="B296" i="26" l="1"/>
  <c r="B297" i="26"/>
  <c r="J297" i="26"/>
  <c r="J296" i="26"/>
  <c r="H10" i="9"/>
  <c r="I10" i="9"/>
  <c r="AB10" i="9" s="1"/>
  <c r="J11" i="9"/>
  <c r="I9" i="9"/>
  <c r="AB9" i="9" s="1"/>
  <c r="J9" i="9"/>
  <c r="AL9" i="9" s="1"/>
  <c r="J10" i="9"/>
  <c r="H11" i="9"/>
  <c r="H9" i="9"/>
  <c r="I11" i="9"/>
  <c r="AB11" i="9" s="1"/>
  <c r="B13" i="9"/>
  <c r="J12" i="9"/>
  <c r="I12" i="9"/>
  <c r="AB12" i="9" s="1"/>
  <c r="H12" i="9"/>
  <c r="F13" i="9"/>
  <c r="AJ10" i="9" l="1"/>
  <c r="E17" i="26"/>
  <c r="E29" i="26" s="1"/>
  <c r="AJ9" i="9"/>
  <c r="J13" i="9"/>
  <c r="I13" i="9"/>
  <c r="AB13" i="9" s="1"/>
  <c r="H13" i="9"/>
  <c r="B14" i="9"/>
  <c r="F14" i="9"/>
  <c r="E30" i="26" l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/>
  <c r="AJ11" i="9"/>
  <c r="E6" i="26"/>
  <c r="M5" i="26"/>
  <c r="J14" i="9"/>
  <c r="B15" i="9"/>
  <c r="I14" i="9"/>
  <c r="AB14" i="9" s="1"/>
  <c r="H14" i="9"/>
  <c r="F15" i="9"/>
  <c r="E42" i="26" l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/>
  <c r="AJ12" i="9"/>
  <c r="M17" i="26"/>
  <c r="E18" i="26"/>
  <c r="E7" i="26"/>
  <c r="M6" i="26"/>
  <c r="J15" i="9"/>
  <c r="B16" i="9"/>
  <c r="I15" i="9"/>
  <c r="AB15" i="9" s="1"/>
  <c r="H15" i="9"/>
  <c r="F16" i="9"/>
  <c r="E54" i="26" l="1"/>
  <c r="E55" i="26" s="1"/>
  <c r="E56" i="26" s="1"/>
  <c r="E57" i="26" s="1"/>
  <c r="E58" i="26" s="1"/>
  <c r="E59" i="26" s="1"/>
  <c r="E60" i="26" s="1"/>
  <c r="E61" i="26" s="1"/>
  <c r="E62" i="26" s="1"/>
  <c r="E63" i="26" s="1"/>
  <c r="E64" i="26" s="1"/>
  <c r="E65" i="26"/>
  <c r="AJ13" i="9"/>
  <c r="E19" i="26"/>
  <c r="M18" i="26"/>
  <c r="E8" i="26"/>
  <c r="M7" i="26"/>
  <c r="M29" i="26"/>
  <c r="B17" i="9"/>
  <c r="J16" i="9"/>
  <c r="I16" i="9"/>
  <c r="AB16" i="9" s="1"/>
  <c r="H16" i="9"/>
  <c r="F17" i="9"/>
  <c r="E66" i="26" l="1"/>
  <c r="E67" i="26" s="1"/>
  <c r="E68" i="26" s="1"/>
  <c r="E69" i="26" s="1"/>
  <c r="E70" i="26" s="1"/>
  <c r="E71" i="26" s="1"/>
  <c r="E72" i="26" s="1"/>
  <c r="E73" i="26" s="1"/>
  <c r="E74" i="26" s="1"/>
  <c r="E75" i="26" s="1"/>
  <c r="E76" i="26" s="1"/>
  <c r="E77" i="26"/>
  <c r="AJ14" i="9"/>
  <c r="M30" i="26"/>
  <c r="M8" i="26"/>
  <c r="E9" i="26"/>
  <c r="M41" i="26"/>
  <c r="M19" i="26"/>
  <c r="E20" i="26"/>
  <c r="H17" i="9"/>
  <c r="B18" i="9"/>
  <c r="J17" i="9"/>
  <c r="I17" i="9"/>
  <c r="AB17" i="9" s="1"/>
  <c r="F18" i="9"/>
  <c r="E78" i="26" l="1"/>
  <c r="E79" i="26" s="1"/>
  <c r="E80" i="26" s="1"/>
  <c r="E81" i="26" s="1"/>
  <c r="E82" i="26" s="1"/>
  <c r="E83" i="26" s="1"/>
  <c r="E84" i="26" s="1"/>
  <c r="E85" i="26" s="1"/>
  <c r="E86" i="26" s="1"/>
  <c r="E87" i="26" s="1"/>
  <c r="E88" i="26" s="1"/>
  <c r="E89" i="26"/>
  <c r="AJ15" i="9"/>
  <c r="M9" i="26"/>
  <c r="E10" i="26"/>
  <c r="M42" i="26"/>
  <c r="E21" i="26"/>
  <c r="M20" i="26"/>
  <c r="AJ16" i="9"/>
  <c r="M53" i="26"/>
  <c r="M31" i="26"/>
  <c r="H18" i="9"/>
  <c r="J18" i="9"/>
  <c r="B19" i="9"/>
  <c r="I18" i="9"/>
  <c r="AB18" i="9" s="1"/>
  <c r="F19" i="9"/>
  <c r="E90" i="26" l="1"/>
  <c r="E91" i="26" s="1"/>
  <c r="E92" i="26" s="1"/>
  <c r="E93" i="26" s="1"/>
  <c r="E94" i="26" s="1"/>
  <c r="E95" i="26" s="1"/>
  <c r="E96" i="26" s="1"/>
  <c r="E97" i="26" s="1"/>
  <c r="E98" i="26" s="1"/>
  <c r="E99" i="26" s="1"/>
  <c r="E100" i="26" s="1"/>
  <c r="E101" i="26"/>
  <c r="M32" i="26"/>
  <c r="M65" i="26"/>
  <c r="M43" i="26"/>
  <c r="M10" i="26"/>
  <c r="E11" i="26"/>
  <c r="M54" i="26"/>
  <c r="E22" i="26"/>
  <c r="M21" i="26"/>
  <c r="B20" i="9"/>
  <c r="I19" i="9"/>
  <c r="AB19" i="9" s="1"/>
  <c r="H19" i="9"/>
  <c r="J19" i="9"/>
  <c r="F20" i="9"/>
  <c r="E102" i="26" l="1"/>
  <c r="E103" i="26" s="1"/>
  <c r="E104" i="26" s="1"/>
  <c r="E105" i="26" s="1"/>
  <c r="E106" i="26" s="1"/>
  <c r="E107" i="26" s="1"/>
  <c r="E108" i="26" s="1"/>
  <c r="E109" i="26" s="1"/>
  <c r="E110" i="26" s="1"/>
  <c r="E111" i="26" s="1"/>
  <c r="E112" i="26" s="1"/>
  <c r="E113" i="26"/>
  <c r="AJ17" i="9"/>
  <c r="M77" i="26"/>
  <c r="M22" i="26"/>
  <c r="E23" i="26"/>
  <c r="E12" i="26"/>
  <c r="M11" i="26"/>
  <c r="M44" i="26"/>
  <c r="M55" i="26"/>
  <c r="M66" i="26"/>
  <c r="M33" i="26"/>
  <c r="B21" i="9"/>
  <c r="H20" i="9"/>
  <c r="J20" i="9"/>
  <c r="I20" i="9"/>
  <c r="AB20" i="9" s="1"/>
  <c r="F21" i="9"/>
  <c r="E114" i="26" l="1"/>
  <c r="E115" i="26" s="1"/>
  <c r="E116" i="26" s="1"/>
  <c r="E117" i="26" s="1"/>
  <c r="E118" i="26" s="1"/>
  <c r="E119" i="26" s="1"/>
  <c r="E120" i="26" s="1"/>
  <c r="E121" i="26" s="1"/>
  <c r="E122" i="26" s="1"/>
  <c r="E123" i="26" s="1"/>
  <c r="E124" i="26" s="1"/>
  <c r="E125" i="26"/>
  <c r="AJ18" i="9"/>
  <c r="M67" i="26"/>
  <c r="M45" i="26"/>
  <c r="M56" i="26"/>
  <c r="M89" i="26"/>
  <c r="M34" i="26"/>
  <c r="E13" i="26"/>
  <c r="M12" i="26"/>
  <c r="M23" i="26"/>
  <c r="E24" i="26"/>
  <c r="M78" i="26"/>
  <c r="I21" i="9"/>
  <c r="AB21" i="9" s="1"/>
  <c r="H21" i="9"/>
  <c r="B22" i="9"/>
  <c r="J21" i="9"/>
  <c r="F22" i="9"/>
  <c r="E126" i="26" l="1"/>
  <c r="E127" i="26" s="1"/>
  <c r="E128" i="26" s="1"/>
  <c r="E129" i="26" s="1"/>
  <c r="E130" i="26" s="1"/>
  <c r="E131" i="26" s="1"/>
  <c r="E132" i="26" s="1"/>
  <c r="E133" i="26" s="1"/>
  <c r="E134" i="26" s="1"/>
  <c r="E135" i="26" s="1"/>
  <c r="E136" i="26" s="1"/>
  <c r="E137" i="26"/>
  <c r="AJ19" i="9"/>
  <c r="M24" i="26"/>
  <c r="E25" i="26"/>
  <c r="M35" i="26"/>
  <c r="M57" i="26"/>
  <c r="M46" i="26"/>
  <c r="E14" i="26"/>
  <c r="M13" i="26"/>
  <c r="M90" i="26"/>
  <c r="M79" i="26"/>
  <c r="M101" i="26"/>
  <c r="M68" i="26"/>
  <c r="J22" i="9"/>
  <c r="B23" i="9"/>
  <c r="I22" i="9"/>
  <c r="AB22" i="9" s="1"/>
  <c r="H22" i="9"/>
  <c r="F23" i="9"/>
  <c r="E149" i="26" l="1"/>
  <c r="E138" i="26"/>
  <c r="E139" i="26" s="1"/>
  <c r="E140" i="26" s="1"/>
  <c r="E141" i="26" s="1"/>
  <c r="E142" i="26" s="1"/>
  <c r="E143" i="26" s="1"/>
  <c r="E144" i="26" s="1"/>
  <c r="E145" i="26" s="1"/>
  <c r="E146" i="26" s="1"/>
  <c r="E147" i="26" s="1"/>
  <c r="E148" i="26" s="1"/>
  <c r="AJ20" i="9"/>
  <c r="M69" i="26"/>
  <c r="AJ21" i="9"/>
  <c r="M47" i="26"/>
  <c r="M102" i="26"/>
  <c r="E15" i="26"/>
  <c r="M14" i="26"/>
  <c r="M36" i="26"/>
  <c r="M113" i="26"/>
  <c r="M58" i="26"/>
  <c r="E26" i="26"/>
  <c r="M25" i="26"/>
  <c r="M80" i="26"/>
  <c r="M91" i="26"/>
  <c r="J23" i="9"/>
  <c r="B24" i="9"/>
  <c r="I23" i="9"/>
  <c r="AB23" i="9" s="1"/>
  <c r="H23" i="9"/>
  <c r="F24" i="9"/>
  <c r="E150" i="26" l="1"/>
  <c r="E151" i="26" s="1"/>
  <c r="E152" i="26" s="1"/>
  <c r="E153" i="26" s="1"/>
  <c r="E154" i="26" s="1"/>
  <c r="E155" i="26" s="1"/>
  <c r="E156" i="26" s="1"/>
  <c r="E157" i="26" s="1"/>
  <c r="E158" i="26" s="1"/>
  <c r="E159" i="26" s="1"/>
  <c r="E160" i="26" s="1"/>
  <c r="E161" i="26"/>
  <c r="M81" i="26"/>
  <c r="E16" i="26"/>
  <c r="M16" i="26" s="1"/>
  <c r="M15" i="26"/>
  <c r="E27" i="26"/>
  <c r="M26" i="26"/>
  <c r="M37" i="26"/>
  <c r="M48" i="26"/>
  <c r="M125" i="26"/>
  <c r="M114" i="26"/>
  <c r="M103" i="26"/>
  <c r="M70" i="26"/>
  <c r="M92" i="26"/>
  <c r="M59" i="26"/>
  <c r="AJ22" i="9"/>
  <c r="B25" i="9"/>
  <c r="J24" i="9"/>
  <c r="I24" i="9"/>
  <c r="AB24" i="9" s="1"/>
  <c r="H24" i="9"/>
  <c r="F25" i="9"/>
  <c r="E162" i="26" l="1"/>
  <c r="E163" i="26" s="1"/>
  <c r="E164" i="26" s="1"/>
  <c r="E165" i="26" s="1"/>
  <c r="E166" i="26" s="1"/>
  <c r="E167" i="26" s="1"/>
  <c r="E168" i="26" s="1"/>
  <c r="E169" i="26" s="1"/>
  <c r="E170" i="26" s="1"/>
  <c r="E171" i="26" s="1"/>
  <c r="E172" i="26" s="1"/>
  <c r="E173" i="26"/>
  <c r="M104" i="26"/>
  <c r="M126" i="26"/>
  <c r="M93" i="26"/>
  <c r="M38" i="26"/>
  <c r="AJ23" i="9"/>
  <c r="M60" i="26"/>
  <c r="M49" i="26"/>
  <c r="M82" i="26"/>
  <c r="M71" i="26"/>
  <c r="M115" i="26"/>
  <c r="M137" i="26"/>
  <c r="M27" i="26"/>
  <c r="E28" i="26"/>
  <c r="M28" i="26" s="1"/>
  <c r="J25" i="9"/>
  <c r="I25" i="9"/>
  <c r="AB25" i="9" s="1"/>
  <c r="H25" i="9"/>
  <c r="B26" i="9"/>
  <c r="F26" i="9"/>
  <c r="E174" i="26" l="1"/>
  <c r="E175" i="26" s="1"/>
  <c r="E176" i="26" s="1"/>
  <c r="E177" i="26" s="1"/>
  <c r="E178" i="26" s="1"/>
  <c r="E179" i="26" s="1"/>
  <c r="E180" i="26" s="1"/>
  <c r="E181" i="26" s="1"/>
  <c r="E182" i="26" s="1"/>
  <c r="E183" i="26" s="1"/>
  <c r="E184" i="26" s="1"/>
  <c r="E185" i="26"/>
  <c r="M72" i="26"/>
  <c r="M61" i="26"/>
  <c r="M39" i="26"/>
  <c r="M40" i="26"/>
  <c r="M127" i="26"/>
  <c r="M149" i="26"/>
  <c r="M94" i="26"/>
  <c r="M105" i="26"/>
  <c r="AJ24" i="9"/>
  <c r="M138" i="26"/>
  <c r="M116" i="26"/>
  <c r="M83" i="26"/>
  <c r="M50" i="26"/>
  <c r="J26" i="9"/>
  <c r="B27" i="9"/>
  <c r="I26" i="9"/>
  <c r="AB26" i="9" s="1"/>
  <c r="H26" i="9"/>
  <c r="F27" i="9"/>
  <c r="E186" i="26" l="1"/>
  <c r="E187" i="26" s="1"/>
  <c r="E188" i="26" s="1"/>
  <c r="E189" i="26" s="1"/>
  <c r="E190" i="26" s="1"/>
  <c r="E191" i="26" s="1"/>
  <c r="E192" i="26" s="1"/>
  <c r="E193" i="26" s="1"/>
  <c r="E194" i="26" s="1"/>
  <c r="E195" i="26" s="1"/>
  <c r="E196" i="26" s="1"/>
  <c r="E197" i="26"/>
  <c r="M84" i="26"/>
  <c r="M139" i="26"/>
  <c r="M106" i="26"/>
  <c r="M52" i="26"/>
  <c r="M51" i="26"/>
  <c r="M150" i="26"/>
  <c r="M117" i="26"/>
  <c r="AJ25" i="9"/>
  <c r="M95" i="26"/>
  <c r="M128" i="26"/>
  <c r="M73" i="26"/>
  <c r="M161" i="26"/>
  <c r="M62" i="26"/>
  <c r="J27" i="9"/>
  <c r="B28" i="9"/>
  <c r="I27" i="9"/>
  <c r="AB27" i="9" s="1"/>
  <c r="H27" i="9"/>
  <c r="F28" i="9"/>
  <c r="E198" i="26" l="1"/>
  <c r="E199" i="26" s="1"/>
  <c r="E200" i="26" s="1"/>
  <c r="E201" i="26" s="1"/>
  <c r="E202" i="26" s="1"/>
  <c r="E203" i="26" s="1"/>
  <c r="E204" i="26" s="1"/>
  <c r="E205" i="26" s="1"/>
  <c r="E206" i="26" s="1"/>
  <c r="E207" i="26" s="1"/>
  <c r="E208" i="26" s="1"/>
  <c r="E209" i="26"/>
  <c r="M173" i="26"/>
  <c r="M96" i="26"/>
  <c r="M162" i="26"/>
  <c r="M129" i="26"/>
  <c r="AJ26" i="9"/>
  <c r="M118" i="26"/>
  <c r="M107" i="26"/>
  <c r="M74" i="26"/>
  <c r="M85" i="26"/>
  <c r="M63" i="26"/>
  <c r="M64" i="26"/>
  <c r="M151" i="26"/>
  <c r="M140" i="26"/>
  <c r="B29" i="9"/>
  <c r="H28" i="9"/>
  <c r="J28" i="9"/>
  <c r="I28" i="9"/>
  <c r="AB28" i="9" s="1"/>
  <c r="F29" i="9"/>
  <c r="E210" i="26" l="1"/>
  <c r="E211" i="26" s="1"/>
  <c r="E212" i="26" s="1"/>
  <c r="E213" i="26" s="1"/>
  <c r="E214" i="26" s="1"/>
  <c r="E215" i="26" s="1"/>
  <c r="E216" i="26" s="1"/>
  <c r="E217" i="26" s="1"/>
  <c r="E218" i="26" s="1"/>
  <c r="E219" i="26" s="1"/>
  <c r="E220" i="26" s="1"/>
  <c r="E221" i="26"/>
  <c r="M130" i="26"/>
  <c r="M108" i="26"/>
  <c r="AJ27" i="9"/>
  <c r="M141" i="26"/>
  <c r="M152" i="26"/>
  <c r="M86" i="26"/>
  <c r="M174" i="26"/>
  <c r="M76" i="26"/>
  <c r="M75" i="26"/>
  <c r="M119" i="26"/>
  <c r="M163" i="26"/>
  <c r="M97" i="26"/>
  <c r="M185" i="26"/>
  <c r="I29" i="9"/>
  <c r="AB29" i="9" s="1"/>
  <c r="H29" i="9"/>
  <c r="B30" i="9"/>
  <c r="J29" i="9"/>
  <c r="F30" i="9"/>
  <c r="E222" i="26" l="1"/>
  <c r="E223" i="26" s="1"/>
  <c r="E224" i="26" s="1"/>
  <c r="E225" i="26" s="1"/>
  <c r="E226" i="26" s="1"/>
  <c r="E227" i="26" s="1"/>
  <c r="E228" i="26" s="1"/>
  <c r="E229" i="26" s="1"/>
  <c r="E230" i="26" s="1"/>
  <c r="E231" i="26" s="1"/>
  <c r="E232" i="26" s="1"/>
  <c r="E233" i="26"/>
  <c r="M186" i="26"/>
  <c r="M164" i="26"/>
  <c r="M109" i="26"/>
  <c r="M175" i="26"/>
  <c r="AJ28" i="9"/>
  <c r="M98" i="26"/>
  <c r="M88" i="26"/>
  <c r="M87" i="26"/>
  <c r="M142" i="26"/>
  <c r="M197" i="26"/>
  <c r="M120" i="26"/>
  <c r="M153" i="26"/>
  <c r="M131" i="26"/>
  <c r="H30" i="9"/>
  <c r="J30" i="9"/>
  <c r="B31" i="9"/>
  <c r="I30" i="9"/>
  <c r="AB30" i="9" s="1"/>
  <c r="F31" i="9"/>
  <c r="E234" i="26" l="1"/>
  <c r="E235" i="26" s="1"/>
  <c r="E236" i="26" s="1"/>
  <c r="E237" i="26" s="1"/>
  <c r="E238" i="26" s="1"/>
  <c r="E239" i="26" s="1"/>
  <c r="E240" i="26" s="1"/>
  <c r="E241" i="26" s="1"/>
  <c r="E242" i="26" s="1"/>
  <c r="E243" i="26" s="1"/>
  <c r="E244" i="26" s="1"/>
  <c r="E245" i="26"/>
  <c r="M121" i="26"/>
  <c r="M198" i="26"/>
  <c r="M110" i="26"/>
  <c r="M143" i="26"/>
  <c r="M165" i="26"/>
  <c r="M154" i="26"/>
  <c r="M209" i="26"/>
  <c r="AJ29" i="9"/>
  <c r="M187" i="26"/>
  <c r="M132" i="26"/>
  <c r="M100" i="26"/>
  <c r="M99" i="26"/>
  <c r="M176" i="26"/>
  <c r="B32" i="9"/>
  <c r="I31" i="9"/>
  <c r="AB31" i="9" s="1"/>
  <c r="H31" i="9"/>
  <c r="J31" i="9"/>
  <c r="F32" i="9"/>
  <c r="E246" i="26" l="1"/>
  <c r="E247" i="26" s="1"/>
  <c r="E248" i="26" s="1"/>
  <c r="E249" i="26" s="1"/>
  <c r="E250" i="26" s="1"/>
  <c r="E251" i="26" s="1"/>
  <c r="E252" i="26" s="1"/>
  <c r="E253" i="26" s="1"/>
  <c r="E254" i="26" s="1"/>
  <c r="E255" i="26" s="1"/>
  <c r="E256" i="26" s="1"/>
  <c r="E257" i="26"/>
  <c r="M177" i="26"/>
  <c r="M133" i="26"/>
  <c r="AJ30" i="9"/>
  <c r="M166" i="26"/>
  <c r="M210" i="26"/>
  <c r="M155" i="26"/>
  <c r="M144" i="26"/>
  <c r="M199" i="26"/>
  <c r="M188" i="26"/>
  <c r="M221" i="26"/>
  <c r="M111" i="26"/>
  <c r="M112" i="26"/>
  <c r="M122" i="26"/>
  <c r="B33" i="9"/>
  <c r="H32" i="9"/>
  <c r="J32" i="9"/>
  <c r="I32" i="9"/>
  <c r="AB32" i="9" s="1"/>
  <c r="F33" i="9"/>
  <c r="E269" i="26" l="1"/>
  <c r="E258" i="26"/>
  <c r="E259" i="26" s="1"/>
  <c r="E260" i="26" s="1"/>
  <c r="E261" i="26" s="1"/>
  <c r="E262" i="26" s="1"/>
  <c r="E263" i="26" s="1"/>
  <c r="E264" i="26" s="1"/>
  <c r="E265" i="26" s="1"/>
  <c r="E266" i="26" s="1"/>
  <c r="E267" i="26" s="1"/>
  <c r="E268" i="26" s="1"/>
  <c r="M233" i="26"/>
  <c r="M189" i="26"/>
  <c r="M156" i="26"/>
  <c r="M222" i="26"/>
  <c r="AJ31" i="9"/>
  <c r="M134" i="26"/>
  <c r="M145" i="26"/>
  <c r="M211" i="26"/>
  <c r="M167" i="26"/>
  <c r="M124" i="26"/>
  <c r="M123" i="26"/>
  <c r="M200" i="26"/>
  <c r="M178" i="26"/>
  <c r="J33" i="9"/>
  <c r="I33" i="9"/>
  <c r="AB33" i="9" s="1"/>
  <c r="H33" i="9"/>
  <c r="B34" i="9"/>
  <c r="F34" i="9"/>
  <c r="E270" i="26" l="1"/>
  <c r="E271" i="26" s="1"/>
  <c r="E272" i="26" s="1"/>
  <c r="E273" i="26" s="1"/>
  <c r="E274" i="26" s="1"/>
  <c r="E275" i="26" s="1"/>
  <c r="E276" i="26" s="1"/>
  <c r="E277" i="26" s="1"/>
  <c r="E278" i="26" s="1"/>
  <c r="E279" i="26" s="1"/>
  <c r="E280" i="26" s="1"/>
  <c r="E281" i="26"/>
  <c r="E282" i="26" s="1"/>
  <c r="E283" i="26" s="1"/>
  <c r="E284" i="26" s="1"/>
  <c r="E285" i="26" s="1"/>
  <c r="E286" i="26" s="1"/>
  <c r="E287" i="26" s="1"/>
  <c r="E288" i="26" s="1"/>
  <c r="E289" i="26" s="1"/>
  <c r="E290" i="26" s="1"/>
  <c r="E291" i="26" s="1"/>
  <c r="E292" i="26" s="1"/>
  <c r="AJ32" i="9"/>
  <c r="M223" i="26"/>
  <c r="M157" i="26"/>
  <c r="M168" i="26"/>
  <c r="M146" i="26"/>
  <c r="M245" i="26"/>
  <c r="M212" i="26"/>
  <c r="M136" i="26"/>
  <c r="M135" i="26"/>
  <c r="M234" i="26"/>
  <c r="M179" i="26"/>
  <c r="M201" i="26"/>
  <c r="M190" i="26"/>
  <c r="H34" i="9"/>
  <c r="B35" i="9"/>
  <c r="J34" i="9"/>
  <c r="I34" i="9"/>
  <c r="AB34" i="9" s="1"/>
  <c r="F35" i="9"/>
  <c r="M257" i="26" l="1"/>
  <c r="M169" i="26"/>
  <c r="M158" i="26"/>
  <c r="AJ33" i="9"/>
  <c r="M246" i="26"/>
  <c r="M224" i="26"/>
  <c r="M202" i="26"/>
  <c r="M235" i="26"/>
  <c r="M213" i="26"/>
  <c r="M147" i="26"/>
  <c r="M148" i="26"/>
  <c r="M191" i="26"/>
  <c r="M180" i="26"/>
  <c r="J35" i="9"/>
  <c r="B36" i="9"/>
  <c r="I35" i="9"/>
  <c r="AB35" i="9" s="1"/>
  <c r="H35" i="9"/>
  <c r="F36" i="9"/>
  <c r="M192" i="26" l="1"/>
  <c r="M236" i="26"/>
  <c r="AJ34" i="9"/>
  <c r="M160" i="26"/>
  <c r="M159" i="26"/>
  <c r="M269" i="26"/>
  <c r="M225" i="26"/>
  <c r="M258" i="26"/>
  <c r="M181" i="26"/>
  <c r="M214" i="26"/>
  <c r="M203" i="26"/>
  <c r="M170" i="26"/>
  <c r="M247" i="26"/>
  <c r="B37" i="9"/>
  <c r="H36" i="9"/>
  <c r="J36" i="9"/>
  <c r="I36" i="9"/>
  <c r="AB36" i="9" s="1"/>
  <c r="F37" i="9"/>
  <c r="M182" i="26" l="1"/>
  <c r="M237" i="26"/>
  <c r="M248" i="26"/>
  <c r="M226" i="26"/>
  <c r="M270" i="26"/>
  <c r="M172" i="26"/>
  <c r="M171" i="26"/>
  <c r="M215" i="26"/>
  <c r="M259" i="26"/>
  <c r="M204" i="26"/>
  <c r="M281" i="26"/>
  <c r="AJ35" i="9"/>
  <c r="M193" i="26"/>
  <c r="J37" i="9"/>
  <c r="I37" i="9"/>
  <c r="AB37" i="9" s="1"/>
  <c r="H37" i="9"/>
  <c r="B38" i="9"/>
  <c r="F38" i="9"/>
  <c r="M194" i="26" l="1"/>
  <c r="M205" i="26"/>
  <c r="M271" i="26"/>
  <c r="M184" i="26"/>
  <c r="M183" i="26"/>
  <c r="M282" i="26"/>
  <c r="M260" i="26"/>
  <c r="M238" i="26"/>
  <c r="M216" i="26"/>
  <c r="M227" i="26"/>
  <c r="AJ36" i="9"/>
  <c r="M249" i="26"/>
  <c r="H38" i="9"/>
  <c r="B39" i="9"/>
  <c r="J38" i="9"/>
  <c r="I38" i="9"/>
  <c r="AB38" i="9" s="1"/>
  <c r="F39" i="9"/>
  <c r="M239" i="26" l="1"/>
  <c r="M261" i="26"/>
  <c r="M283" i="26"/>
  <c r="M217" i="26"/>
  <c r="M272" i="26"/>
  <c r="M206" i="26"/>
  <c r="M250" i="26"/>
  <c r="AJ37" i="9"/>
  <c r="M228" i="26"/>
  <c r="M195" i="26"/>
  <c r="M196" i="26"/>
  <c r="J39" i="9"/>
  <c r="B40" i="9"/>
  <c r="I39" i="9"/>
  <c r="AB39" i="9" s="1"/>
  <c r="H39" i="9"/>
  <c r="F40" i="9"/>
  <c r="M229" i="26" l="1"/>
  <c r="AJ38" i="9"/>
  <c r="M251" i="26"/>
  <c r="M273" i="26"/>
  <c r="M218" i="26"/>
  <c r="M262" i="26"/>
  <c r="M207" i="26"/>
  <c r="M208" i="26"/>
  <c r="M284" i="26"/>
  <c r="M240" i="26"/>
  <c r="B41" i="9"/>
  <c r="H40" i="9"/>
  <c r="J40" i="9"/>
  <c r="I40" i="9"/>
  <c r="AB40" i="9" s="1"/>
  <c r="F41" i="9"/>
  <c r="M274" i="26" l="1"/>
  <c r="M241" i="26"/>
  <c r="M285" i="26"/>
  <c r="M220" i="26"/>
  <c r="M219" i="26"/>
  <c r="M252" i="26"/>
  <c r="AJ39" i="9"/>
  <c r="M230" i="26"/>
  <c r="M263" i="26"/>
  <c r="J41" i="9"/>
  <c r="I41" i="9"/>
  <c r="AB41" i="9" s="1"/>
  <c r="H41" i="9"/>
  <c r="B42" i="9"/>
  <c r="F42" i="9"/>
  <c r="AJ40" i="9" l="1"/>
  <c r="M232" i="26"/>
  <c r="M231" i="26"/>
  <c r="M286" i="26"/>
  <c r="M275" i="26"/>
  <c r="M264" i="26"/>
  <c r="M253" i="26"/>
  <c r="M242" i="26"/>
  <c r="H42" i="9"/>
  <c r="B43" i="9"/>
  <c r="J42" i="9"/>
  <c r="I42" i="9"/>
  <c r="AB42" i="9" s="1"/>
  <c r="F43" i="9"/>
  <c r="M254" i="26" l="1"/>
  <c r="M276" i="26"/>
  <c r="AJ41" i="9"/>
  <c r="M243" i="26"/>
  <c r="M244" i="26"/>
  <c r="M265" i="26"/>
  <c r="M287" i="26"/>
  <c r="J43" i="9"/>
  <c r="B44" i="9"/>
  <c r="I43" i="9"/>
  <c r="AB43" i="9" s="1"/>
  <c r="H43" i="9"/>
  <c r="F44" i="9"/>
  <c r="M288" i="26" l="1"/>
  <c r="M277" i="26"/>
  <c r="M266" i="26"/>
  <c r="AJ42" i="9"/>
  <c r="M256" i="26"/>
  <c r="M255" i="26"/>
  <c r="B45" i="9"/>
  <c r="H44" i="9"/>
  <c r="J44" i="9"/>
  <c r="I44" i="9"/>
  <c r="AB44" i="9" s="1"/>
  <c r="F45" i="9"/>
  <c r="M278" i="26" l="1"/>
  <c r="M289" i="26"/>
  <c r="AJ43" i="9"/>
  <c r="M268" i="26"/>
  <c r="M267" i="26"/>
  <c r="J45" i="9"/>
  <c r="I45" i="9"/>
  <c r="AB45" i="9" s="1"/>
  <c r="H45" i="9"/>
  <c r="B46" i="9"/>
  <c r="F46" i="9"/>
  <c r="M280" i="26" l="1"/>
  <c r="M279" i="26"/>
  <c r="AJ44" i="9"/>
  <c r="M290" i="26"/>
  <c r="H46" i="9"/>
  <c r="B47" i="9"/>
  <c r="J46" i="9"/>
  <c r="I46" i="9"/>
  <c r="AB46" i="9" s="1"/>
  <c r="F47" i="9"/>
  <c r="M291" i="26" l="1"/>
  <c r="M292" i="26"/>
  <c r="AJ45" i="9"/>
  <c r="J47" i="9"/>
  <c r="B48" i="9"/>
  <c r="I47" i="9"/>
  <c r="AB47" i="9" s="1"/>
  <c r="H47" i="9"/>
  <c r="F48" i="9"/>
  <c r="AJ46" i="9" l="1"/>
  <c r="B49" i="9"/>
  <c r="H48" i="9"/>
  <c r="J48" i="9"/>
  <c r="I48" i="9"/>
  <c r="AB48" i="9" s="1"/>
  <c r="F49" i="9"/>
  <c r="AJ47" i="9" l="1"/>
  <c r="J49" i="9"/>
  <c r="I49" i="9"/>
  <c r="AB49" i="9" s="1"/>
  <c r="H49" i="9"/>
  <c r="B50" i="9"/>
  <c r="F50" i="9"/>
  <c r="AJ48" i="9" l="1"/>
  <c r="H50" i="9"/>
  <c r="B51" i="9"/>
  <c r="J50" i="9"/>
  <c r="I50" i="9"/>
  <c r="AB50" i="9" s="1"/>
  <c r="F51" i="9"/>
  <c r="AJ49" i="9" l="1"/>
  <c r="J51" i="9"/>
  <c r="B52" i="9"/>
  <c r="I51" i="9"/>
  <c r="AB51" i="9" s="1"/>
  <c r="H51" i="9"/>
  <c r="F52" i="9"/>
  <c r="AJ50" i="9" l="1"/>
  <c r="B53" i="9"/>
  <c r="H52" i="9"/>
  <c r="J52" i="9"/>
  <c r="I52" i="9"/>
  <c r="AB52" i="9" s="1"/>
  <c r="F53" i="9"/>
  <c r="AJ51" i="9" l="1"/>
  <c r="J53" i="9"/>
  <c r="I53" i="9"/>
  <c r="AB53" i="9" s="1"/>
  <c r="H53" i="9"/>
  <c r="AJ52" i="9" l="1"/>
  <c r="AJ53" i="9" l="1"/>
  <c r="C6" i="19" l="1"/>
  <c r="B40" i="19" l="1"/>
  <c r="B41" i="19" s="1"/>
  <c r="B42" i="19" s="1"/>
  <c r="A43" i="19"/>
  <c r="A42" i="19"/>
  <c r="A41" i="19"/>
  <c r="A40" i="19"/>
  <c r="A39" i="19"/>
  <c r="C38" i="19"/>
  <c r="B43" i="19" l="1"/>
  <c r="U9" i="9" l="1"/>
  <c r="F457" i="21" l="1"/>
  <c r="G457" i="21" s="1"/>
  <c r="H457" i="21" s="1"/>
  <c r="I457" i="21" s="1"/>
  <c r="J457" i="21" s="1"/>
  <c r="K457" i="21" s="1"/>
  <c r="L457" i="21" s="1"/>
  <c r="M457" i="21" s="1"/>
  <c r="N457" i="21" s="1"/>
  <c r="E457" i="21"/>
  <c r="I417" i="21"/>
  <c r="I418" i="21" s="1"/>
  <c r="I419" i="21" s="1"/>
  <c r="I420" i="21" s="1"/>
  <c r="I421" i="21" s="1"/>
  <c r="I422" i="21" s="1"/>
  <c r="I423" i="21" s="1"/>
  <c r="I424" i="21" s="1"/>
  <c r="I425" i="21" s="1"/>
  <c r="I426" i="21" s="1"/>
  <c r="I427" i="21" s="1"/>
  <c r="I428" i="21" s="1"/>
  <c r="I429" i="21" s="1"/>
  <c r="I416" i="21"/>
  <c r="J416" i="21"/>
  <c r="J417" i="21" s="1"/>
  <c r="J418" i="21" s="1"/>
  <c r="J419" i="21" s="1"/>
  <c r="J420" i="21" s="1"/>
  <c r="J421" i="21" s="1"/>
  <c r="J422" i="21" s="1"/>
  <c r="J423" i="21" s="1"/>
  <c r="J424" i="21" s="1"/>
  <c r="J425" i="21" s="1"/>
  <c r="J426" i="21" s="1"/>
  <c r="J427" i="21" s="1"/>
  <c r="J428" i="21" s="1"/>
  <c r="J429" i="21" s="1"/>
  <c r="J415" i="21"/>
  <c r="I415" i="21"/>
  <c r="D416" i="21"/>
  <c r="D417" i="21" s="1"/>
  <c r="D418" i="21" s="1"/>
  <c r="D419" i="21" s="1"/>
  <c r="D420" i="21" s="1"/>
  <c r="D421" i="21" s="1"/>
  <c r="D422" i="21" s="1"/>
  <c r="D423" i="21" s="1"/>
  <c r="D424" i="21" s="1"/>
  <c r="D425" i="21" s="1"/>
  <c r="D426" i="21" s="1"/>
  <c r="D427" i="21" s="1"/>
  <c r="D428" i="21" s="1"/>
  <c r="D429" i="21" s="1"/>
  <c r="D415" i="21"/>
  <c r="J414" i="21"/>
  <c r="J413" i="21"/>
  <c r="J412" i="21"/>
  <c r="J411" i="21"/>
  <c r="J410" i="21"/>
  <c r="J409" i="21"/>
  <c r="J408" i="21"/>
  <c r="J407" i="21"/>
  <c r="J406" i="21"/>
  <c r="I414" i="21"/>
  <c r="I413" i="21"/>
  <c r="I412" i="21"/>
  <c r="I411" i="21"/>
  <c r="I410" i="21"/>
  <c r="I409" i="21"/>
  <c r="I408" i="21"/>
  <c r="I407" i="21"/>
  <c r="H408" i="21"/>
  <c r="H409" i="21" s="1"/>
  <c r="H407" i="21"/>
  <c r="E414" i="21"/>
  <c r="E413" i="21"/>
  <c r="E412" i="21"/>
  <c r="E411" i="21"/>
  <c r="E410" i="21"/>
  <c r="E409" i="21"/>
  <c r="E408" i="21"/>
  <c r="E407" i="21"/>
  <c r="E406" i="21"/>
  <c r="D408" i="21"/>
  <c r="D409" i="21" s="1"/>
  <c r="D410" i="21" s="1"/>
  <c r="D411" i="21" s="1"/>
  <c r="D412" i="21" s="1"/>
  <c r="D413" i="21" s="1"/>
  <c r="D414" i="21" s="1"/>
  <c r="D407" i="21"/>
  <c r="H410" i="21" l="1"/>
  <c r="H411" i="21" l="1"/>
  <c r="H412" i="21" l="1"/>
  <c r="H413" i="21" l="1"/>
  <c r="H414" i="21" l="1"/>
  <c r="A10" i="9" l="1"/>
  <c r="AE10" i="9" l="1"/>
  <c r="U10" i="9"/>
  <c r="A11" i="9"/>
  <c r="AE11" i="9" l="1"/>
  <c r="U11" i="9"/>
  <c r="A12" i="9"/>
  <c r="AE12" i="9" l="1"/>
  <c r="AG10" i="9"/>
  <c r="AG11" i="9"/>
  <c r="AG12" i="9"/>
  <c r="U12" i="9"/>
  <c r="A13" i="9"/>
  <c r="AG9" i="9" l="1"/>
  <c r="AE13" i="9"/>
  <c r="AG13" i="9"/>
  <c r="U13" i="9"/>
  <c r="A14" i="9"/>
  <c r="C6" i="26" l="1"/>
  <c r="K5" i="26"/>
  <c r="L5" i="26" s="1"/>
  <c r="D5" i="26"/>
  <c r="C17" i="26"/>
  <c r="AE14" i="9"/>
  <c r="U14" i="9"/>
  <c r="AG14" i="9"/>
  <c r="A15" i="9"/>
  <c r="N5" i="26" l="1"/>
  <c r="F5" i="26"/>
  <c r="C29" i="26"/>
  <c r="K17" i="26"/>
  <c r="L17" i="26" s="1"/>
  <c r="N17" i="26" s="1"/>
  <c r="P17" i="26" s="1"/>
  <c r="C18" i="26"/>
  <c r="D17" i="26"/>
  <c r="F17" i="26" s="1"/>
  <c r="H17" i="26" s="1"/>
  <c r="K6" i="26"/>
  <c r="L6" i="26" s="1"/>
  <c r="N6" i="26" s="1"/>
  <c r="P6" i="26" s="1"/>
  <c r="D6" i="26"/>
  <c r="F6" i="26" s="1"/>
  <c r="H6" i="26" s="1"/>
  <c r="C7" i="26"/>
  <c r="AE15" i="9"/>
  <c r="U15" i="9"/>
  <c r="AG15" i="9"/>
  <c r="A16" i="9"/>
  <c r="H5" i="26" l="1"/>
  <c r="P5" i="26"/>
  <c r="C8" i="26"/>
  <c r="K7" i="26"/>
  <c r="L7" i="26" s="1"/>
  <c r="N7" i="26" s="1"/>
  <c r="P7" i="26" s="1"/>
  <c r="D7" i="26"/>
  <c r="F7" i="26" s="1"/>
  <c r="H7" i="26" s="1"/>
  <c r="C19" i="26"/>
  <c r="D19" i="26" s="1"/>
  <c r="K18" i="26"/>
  <c r="L18" i="26" s="1"/>
  <c r="N18" i="26" s="1"/>
  <c r="P18" i="26" s="1"/>
  <c r="D18" i="26"/>
  <c r="F18" i="26" s="1"/>
  <c r="H18" i="26" s="1"/>
  <c r="C30" i="26"/>
  <c r="K29" i="26"/>
  <c r="L29" i="26" s="1"/>
  <c r="N29" i="26" s="1"/>
  <c r="P29" i="26" s="1"/>
  <c r="C41" i="26"/>
  <c r="D29" i="26"/>
  <c r="F29" i="26" s="1"/>
  <c r="H29" i="26" s="1"/>
  <c r="AE16" i="9"/>
  <c r="U16" i="9"/>
  <c r="AG16" i="9"/>
  <c r="A17" i="9"/>
  <c r="C20" i="26" l="1"/>
  <c r="K19" i="26"/>
  <c r="L19" i="26" s="1"/>
  <c r="N19" i="26" s="1"/>
  <c r="P19" i="26" s="1"/>
  <c r="F19" i="26"/>
  <c r="H19" i="26" s="1"/>
  <c r="C31" i="26"/>
  <c r="K30" i="26"/>
  <c r="L30" i="26" s="1"/>
  <c r="N30" i="26" s="1"/>
  <c r="P30" i="26" s="1"/>
  <c r="D30" i="26"/>
  <c r="F30" i="26" s="1"/>
  <c r="H30" i="26" s="1"/>
  <c r="C42" i="26"/>
  <c r="K41" i="26"/>
  <c r="L41" i="26" s="1"/>
  <c r="N41" i="26" s="1"/>
  <c r="P41" i="26" s="1"/>
  <c r="C53" i="26"/>
  <c r="D41" i="26"/>
  <c r="F41" i="26" s="1"/>
  <c r="H41" i="26" s="1"/>
  <c r="C9" i="26"/>
  <c r="D8" i="26"/>
  <c r="F8" i="26" s="1"/>
  <c r="H8" i="26" s="1"/>
  <c r="K8" i="26"/>
  <c r="L8" i="26" s="1"/>
  <c r="AE17" i="9"/>
  <c r="U17" i="9"/>
  <c r="AG17" i="9"/>
  <c r="A18" i="9"/>
  <c r="N8" i="26" l="1"/>
  <c r="C32" i="26"/>
  <c r="K31" i="26"/>
  <c r="L31" i="26" s="1"/>
  <c r="N31" i="26" s="1"/>
  <c r="P31" i="26" s="1"/>
  <c r="D31" i="26"/>
  <c r="F31" i="26" s="1"/>
  <c r="H31" i="26" s="1"/>
  <c r="C10" i="26"/>
  <c r="K9" i="26"/>
  <c r="L9" i="26" s="1"/>
  <c r="N9" i="26" s="1"/>
  <c r="P9" i="26" s="1"/>
  <c r="D9" i="26"/>
  <c r="F9" i="26" s="1"/>
  <c r="H9" i="26" s="1"/>
  <c r="C43" i="26"/>
  <c r="K42" i="26"/>
  <c r="L42" i="26" s="1"/>
  <c r="N42" i="26" s="1"/>
  <c r="P42" i="26" s="1"/>
  <c r="D42" i="26"/>
  <c r="F42" i="26" s="1"/>
  <c r="H42" i="26" s="1"/>
  <c r="K53" i="26"/>
  <c r="L53" i="26" s="1"/>
  <c r="N53" i="26" s="1"/>
  <c r="P53" i="26" s="1"/>
  <c r="C65" i="26"/>
  <c r="C54" i="26"/>
  <c r="D53" i="26"/>
  <c r="F53" i="26" s="1"/>
  <c r="H53" i="26" s="1"/>
  <c r="C21" i="26"/>
  <c r="K20" i="26"/>
  <c r="L20" i="26" s="1"/>
  <c r="N20" i="26" s="1"/>
  <c r="P20" i="26" s="1"/>
  <c r="D20" i="26"/>
  <c r="F20" i="26" s="1"/>
  <c r="H20" i="26" s="1"/>
  <c r="AE18" i="9"/>
  <c r="U18" i="9"/>
  <c r="AG18" i="9"/>
  <c r="A19" i="9"/>
  <c r="P8" i="26" l="1"/>
  <c r="C55" i="26"/>
  <c r="K54" i="26"/>
  <c r="L54" i="26" s="1"/>
  <c r="N54" i="26" s="1"/>
  <c r="P54" i="26" s="1"/>
  <c r="D54" i="26"/>
  <c r="F54" i="26" s="1"/>
  <c r="H54" i="26" s="1"/>
  <c r="C11" i="26"/>
  <c r="K10" i="26"/>
  <c r="L10" i="26" s="1"/>
  <c r="N10" i="26" s="1"/>
  <c r="P10" i="26" s="1"/>
  <c r="D10" i="26"/>
  <c r="F10" i="26" s="1"/>
  <c r="H10" i="26" s="1"/>
  <c r="C66" i="26"/>
  <c r="K65" i="26"/>
  <c r="L65" i="26" s="1"/>
  <c r="N65" i="26" s="1"/>
  <c r="P65" i="26" s="1"/>
  <c r="D65" i="26"/>
  <c r="F65" i="26" s="1"/>
  <c r="H65" i="26" s="1"/>
  <c r="C77" i="26"/>
  <c r="C44" i="26"/>
  <c r="K43" i="26"/>
  <c r="L43" i="26" s="1"/>
  <c r="N43" i="26" s="1"/>
  <c r="P43" i="26" s="1"/>
  <c r="D43" i="26"/>
  <c r="F43" i="26" s="1"/>
  <c r="H43" i="26" s="1"/>
  <c r="C22" i="26"/>
  <c r="K21" i="26"/>
  <c r="L21" i="26" s="1"/>
  <c r="N21" i="26" s="1"/>
  <c r="P21" i="26" s="1"/>
  <c r="D21" i="26"/>
  <c r="F21" i="26" s="1"/>
  <c r="H21" i="26" s="1"/>
  <c r="C33" i="26"/>
  <c r="K32" i="26"/>
  <c r="L32" i="26" s="1"/>
  <c r="N32" i="26" s="1"/>
  <c r="P32" i="26" s="1"/>
  <c r="D32" i="26"/>
  <c r="F32" i="26" s="1"/>
  <c r="H32" i="26" s="1"/>
  <c r="AE19" i="9"/>
  <c r="U19" i="9"/>
  <c r="AG19" i="9"/>
  <c r="A20" i="9"/>
  <c r="C45" i="26" l="1"/>
  <c r="K44" i="26"/>
  <c r="L44" i="26" s="1"/>
  <c r="N44" i="26" s="1"/>
  <c r="P44" i="26" s="1"/>
  <c r="D44" i="26"/>
  <c r="F44" i="26" s="1"/>
  <c r="H44" i="26" s="1"/>
  <c r="C34" i="26"/>
  <c r="K33" i="26"/>
  <c r="L33" i="26" s="1"/>
  <c r="N33" i="26" s="1"/>
  <c r="P33" i="26" s="1"/>
  <c r="D33" i="26"/>
  <c r="F33" i="26" s="1"/>
  <c r="H33" i="26" s="1"/>
  <c r="C56" i="26"/>
  <c r="K55" i="26"/>
  <c r="L55" i="26" s="1"/>
  <c r="N55" i="26" s="1"/>
  <c r="P55" i="26" s="1"/>
  <c r="D55" i="26"/>
  <c r="F55" i="26" s="1"/>
  <c r="H55" i="26" s="1"/>
  <c r="C12" i="26"/>
  <c r="K11" i="26"/>
  <c r="L11" i="26" s="1"/>
  <c r="N11" i="26" s="1"/>
  <c r="P11" i="26" s="1"/>
  <c r="D11" i="26"/>
  <c r="F11" i="26" s="1"/>
  <c r="C67" i="26"/>
  <c r="K66" i="26"/>
  <c r="L66" i="26" s="1"/>
  <c r="N66" i="26" s="1"/>
  <c r="P66" i="26" s="1"/>
  <c r="D66" i="26"/>
  <c r="F66" i="26" s="1"/>
  <c r="H66" i="26" s="1"/>
  <c r="C23" i="26"/>
  <c r="K22" i="26"/>
  <c r="L22" i="26" s="1"/>
  <c r="N22" i="26" s="1"/>
  <c r="P22" i="26" s="1"/>
  <c r="D22" i="26"/>
  <c r="F22" i="26" s="1"/>
  <c r="H22" i="26" s="1"/>
  <c r="C78" i="26"/>
  <c r="K77" i="26"/>
  <c r="L77" i="26" s="1"/>
  <c r="N77" i="26" s="1"/>
  <c r="P77" i="26" s="1"/>
  <c r="D77" i="26"/>
  <c r="F77" i="26" s="1"/>
  <c r="H77" i="26" s="1"/>
  <c r="C89" i="26"/>
  <c r="AE20" i="9"/>
  <c r="U20" i="9"/>
  <c r="AG20" i="9"/>
  <c r="A21" i="9"/>
  <c r="H11" i="26" l="1"/>
  <c r="C24" i="26"/>
  <c r="K23" i="26"/>
  <c r="L23" i="26" s="1"/>
  <c r="N23" i="26" s="1"/>
  <c r="P23" i="26" s="1"/>
  <c r="D23" i="26"/>
  <c r="F23" i="26" s="1"/>
  <c r="H23" i="26" s="1"/>
  <c r="C35" i="26"/>
  <c r="K34" i="26"/>
  <c r="L34" i="26" s="1"/>
  <c r="N34" i="26" s="1"/>
  <c r="P34" i="26" s="1"/>
  <c r="D34" i="26"/>
  <c r="F34" i="26" s="1"/>
  <c r="H34" i="26" s="1"/>
  <c r="C79" i="26"/>
  <c r="K78" i="26"/>
  <c r="L78" i="26" s="1"/>
  <c r="N78" i="26" s="1"/>
  <c r="P78" i="26" s="1"/>
  <c r="D78" i="26"/>
  <c r="F78" i="26" s="1"/>
  <c r="H78" i="26" s="1"/>
  <c r="C57" i="26"/>
  <c r="K56" i="26"/>
  <c r="L56" i="26" s="1"/>
  <c r="N56" i="26" s="1"/>
  <c r="P56" i="26" s="1"/>
  <c r="D56" i="26"/>
  <c r="F56" i="26" s="1"/>
  <c r="H56" i="26" s="1"/>
  <c r="K89" i="26"/>
  <c r="L89" i="26" s="1"/>
  <c r="N89" i="26" s="1"/>
  <c r="P89" i="26" s="1"/>
  <c r="D89" i="26"/>
  <c r="F89" i="26" s="1"/>
  <c r="H89" i="26" s="1"/>
  <c r="C90" i="26"/>
  <c r="C101" i="26"/>
  <c r="C13" i="26"/>
  <c r="D12" i="26"/>
  <c r="F12" i="26" s="1"/>
  <c r="H12" i="26" s="1"/>
  <c r="K12" i="26"/>
  <c r="L12" i="26" s="1"/>
  <c r="N12" i="26" s="1"/>
  <c r="P12" i="26" s="1"/>
  <c r="C68" i="26"/>
  <c r="K67" i="26"/>
  <c r="L67" i="26" s="1"/>
  <c r="N67" i="26" s="1"/>
  <c r="P67" i="26" s="1"/>
  <c r="D67" i="26"/>
  <c r="F67" i="26" s="1"/>
  <c r="H67" i="26" s="1"/>
  <c r="C46" i="26"/>
  <c r="K45" i="26"/>
  <c r="L45" i="26" s="1"/>
  <c r="N45" i="26" s="1"/>
  <c r="P45" i="26" s="1"/>
  <c r="D45" i="26"/>
  <c r="F45" i="26" s="1"/>
  <c r="H45" i="26" s="1"/>
  <c r="AE21" i="9"/>
  <c r="U21" i="9"/>
  <c r="AG21" i="9"/>
  <c r="A22" i="9"/>
  <c r="C69" i="26" l="1"/>
  <c r="K68" i="26"/>
  <c r="L68" i="26" s="1"/>
  <c r="N68" i="26" s="1"/>
  <c r="P68" i="26" s="1"/>
  <c r="D68" i="26"/>
  <c r="F68" i="26" s="1"/>
  <c r="H68" i="26" s="1"/>
  <c r="K101" i="26"/>
  <c r="L101" i="26" s="1"/>
  <c r="N101" i="26" s="1"/>
  <c r="P101" i="26" s="1"/>
  <c r="D101" i="26"/>
  <c r="F101" i="26" s="1"/>
  <c r="H101" i="26" s="1"/>
  <c r="C102" i="26"/>
  <c r="C113" i="26"/>
  <c r="C36" i="26"/>
  <c r="K35" i="26"/>
  <c r="L35" i="26" s="1"/>
  <c r="N35" i="26" s="1"/>
  <c r="P35" i="26" s="1"/>
  <c r="D35" i="26"/>
  <c r="F35" i="26" s="1"/>
  <c r="H35" i="26" s="1"/>
  <c r="C47" i="26"/>
  <c r="K46" i="26"/>
  <c r="L46" i="26" s="1"/>
  <c r="N46" i="26" s="1"/>
  <c r="P46" i="26" s="1"/>
  <c r="D46" i="26"/>
  <c r="F46" i="26" s="1"/>
  <c r="H46" i="26" s="1"/>
  <c r="C91" i="26"/>
  <c r="K90" i="26"/>
  <c r="L90" i="26" s="1"/>
  <c r="N90" i="26" s="1"/>
  <c r="P90" i="26" s="1"/>
  <c r="D90" i="26"/>
  <c r="F90" i="26" s="1"/>
  <c r="H90" i="26" s="1"/>
  <c r="C80" i="26"/>
  <c r="K79" i="26"/>
  <c r="L79" i="26" s="1"/>
  <c r="N79" i="26" s="1"/>
  <c r="P79" i="26" s="1"/>
  <c r="D79" i="26"/>
  <c r="F79" i="26" s="1"/>
  <c r="H79" i="26" s="1"/>
  <c r="C58" i="26"/>
  <c r="D57" i="26"/>
  <c r="F57" i="26" s="1"/>
  <c r="H57" i="26" s="1"/>
  <c r="K57" i="26"/>
  <c r="L57" i="26" s="1"/>
  <c r="N57" i="26" s="1"/>
  <c r="P57" i="26" s="1"/>
  <c r="C14" i="26"/>
  <c r="K13" i="26"/>
  <c r="L13" i="26" s="1"/>
  <c r="N13" i="26" s="1"/>
  <c r="P13" i="26" s="1"/>
  <c r="D13" i="26"/>
  <c r="F13" i="26" s="1"/>
  <c r="H13" i="26" s="1"/>
  <c r="C25" i="26"/>
  <c r="K24" i="26"/>
  <c r="L24" i="26" s="1"/>
  <c r="N24" i="26" s="1"/>
  <c r="P24" i="26" s="1"/>
  <c r="D24" i="26"/>
  <c r="F24" i="26" s="1"/>
  <c r="H24" i="26" s="1"/>
  <c r="AE22" i="9"/>
  <c r="U22" i="9"/>
  <c r="AG22" i="9"/>
  <c r="A23" i="9"/>
  <c r="C59" i="26" l="1"/>
  <c r="K58" i="26"/>
  <c r="L58" i="26" s="1"/>
  <c r="N58" i="26" s="1"/>
  <c r="P58" i="26" s="1"/>
  <c r="D58" i="26"/>
  <c r="F58" i="26" s="1"/>
  <c r="H58" i="26" s="1"/>
  <c r="C37" i="26"/>
  <c r="K36" i="26"/>
  <c r="L36" i="26" s="1"/>
  <c r="N36" i="26" s="1"/>
  <c r="P36" i="26" s="1"/>
  <c r="D36" i="26"/>
  <c r="F36" i="26" s="1"/>
  <c r="H36" i="26" s="1"/>
  <c r="C15" i="26"/>
  <c r="K14" i="26"/>
  <c r="L14" i="26" s="1"/>
  <c r="N14" i="26" s="1"/>
  <c r="P14" i="26" s="1"/>
  <c r="D14" i="26"/>
  <c r="F14" i="26" s="1"/>
  <c r="H14" i="26" s="1"/>
  <c r="C48" i="26"/>
  <c r="K47" i="26"/>
  <c r="L47" i="26" s="1"/>
  <c r="N47" i="26" s="1"/>
  <c r="P47" i="26" s="1"/>
  <c r="D47" i="26"/>
  <c r="F47" i="26" s="1"/>
  <c r="H47" i="26" s="1"/>
  <c r="K113" i="26"/>
  <c r="L113" i="26" s="1"/>
  <c r="N113" i="26" s="1"/>
  <c r="P113" i="26" s="1"/>
  <c r="D113" i="26"/>
  <c r="F113" i="26" s="1"/>
  <c r="H113" i="26" s="1"/>
  <c r="C114" i="26"/>
  <c r="C125" i="26"/>
  <c r="C26" i="26"/>
  <c r="K25" i="26"/>
  <c r="L25" i="26" s="1"/>
  <c r="N25" i="26" s="1"/>
  <c r="P25" i="26" s="1"/>
  <c r="D25" i="26"/>
  <c r="F25" i="26" s="1"/>
  <c r="H25" i="26" s="1"/>
  <c r="C92" i="26"/>
  <c r="K91" i="26"/>
  <c r="L91" i="26" s="1"/>
  <c r="N91" i="26" s="1"/>
  <c r="P91" i="26" s="1"/>
  <c r="D91" i="26"/>
  <c r="F91" i="26" s="1"/>
  <c r="H91" i="26" s="1"/>
  <c r="C103" i="26"/>
  <c r="K102" i="26"/>
  <c r="L102" i="26" s="1"/>
  <c r="N102" i="26" s="1"/>
  <c r="P102" i="26" s="1"/>
  <c r="D102" i="26"/>
  <c r="F102" i="26" s="1"/>
  <c r="H102" i="26" s="1"/>
  <c r="C81" i="26"/>
  <c r="K80" i="26"/>
  <c r="L80" i="26" s="1"/>
  <c r="N80" i="26" s="1"/>
  <c r="P80" i="26" s="1"/>
  <c r="D80" i="26"/>
  <c r="F80" i="26" s="1"/>
  <c r="H80" i="26" s="1"/>
  <c r="C70" i="26"/>
  <c r="K69" i="26"/>
  <c r="L69" i="26" s="1"/>
  <c r="N69" i="26" s="1"/>
  <c r="P69" i="26" s="1"/>
  <c r="D69" i="26"/>
  <c r="F69" i="26" s="1"/>
  <c r="H69" i="26" s="1"/>
  <c r="AE23" i="9"/>
  <c r="U23" i="9"/>
  <c r="AG23" i="9"/>
  <c r="A24" i="9"/>
  <c r="C93" i="26" l="1"/>
  <c r="K92" i="26"/>
  <c r="L92" i="26" s="1"/>
  <c r="N92" i="26" s="1"/>
  <c r="P92" i="26" s="1"/>
  <c r="D92" i="26"/>
  <c r="F92" i="26" s="1"/>
  <c r="H92" i="26" s="1"/>
  <c r="C126" i="26"/>
  <c r="K125" i="26"/>
  <c r="L125" i="26" s="1"/>
  <c r="N125" i="26" s="1"/>
  <c r="P125" i="26" s="1"/>
  <c r="D125" i="26"/>
  <c r="F125" i="26" s="1"/>
  <c r="H125" i="26" s="1"/>
  <c r="C137" i="26"/>
  <c r="C38" i="26"/>
  <c r="K37" i="26"/>
  <c r="L37" i="26" s="1"/>
  <c r="N37" i="26" s="1"/>
  <c r="P37" i="26" s="1"/>
  <c r="D37" i="26"/>
  <c r="F37" i="26" s="1"/>
  <c r="H37" i="26" s="1"/>
  <c r="C104" i="26"/>
  <c r="K103" i="26"/>
  <c r="L103" i="26" s="1"/>
  <c r="N103" i="26" s="1"/>
  <c r="P103" i="26" s="1"/>
  <c r="D103" i="26"/>
  <c r="F103" i="26" s="1"/>
  <c r="H103" i="26" s="1"/>
  <c r="C115" i="26"/>
  <c r="K114" i="26"/>
  <c r="L114" i="26" s="1"/>
  <c r="N114" i="26" s="1"/>
  <c r="P114" i="26" s="1"/>
  <c r="D114" i="26"/>
  <c r="F114" i="26" s="1"/>
  <c r="H114" i="26" s="1"/>
  <c r="C16" i="26"/>
  <c r="K15" i="26"/>
  <c r="L15" i="26" s="1"/>
  <c r="N15" i="26" s="1"/>
  <c r="P15" i="26" s="1"/>
  <c r="D15" i="26"/>
  <c r="F15" i="26" s="1"/>
  <c r="H15" i="26" s="1"/>
  <c r="C82" i="26"/>
  <c r="K81" i="26"/>
  <c r="L81" i="26" s="1"/>
  <c r="N81" i="26" s="1"/>
  <c r="P81" i="26" s="1"/>
  <c r="D81" i="26"/>
  <c r="F81" i="26" s="1"/>
  <c r="H81" i="26" s="1"/>
  <c r="C49" i="26"/>
  <c r="K48" i="26"/>
  <c r="L48" i="26" s="1"/>
  <c r="N48" i="26" s="1"/>
  <c r="P48" i="26" s="1"/>
  <c r="D48" i="26"/>
  <c r="F48" i="26" s="1"/>
  <c r="H48" i="26" s="1"/>
  <c r="C71" i="26"/>
  <c r="K70" i="26"/>
  <c r="L70" i="26" s="1"/>
  <c r="N70" i="26" s="1"/>
  <c r="P70" i="26" s="1"/>
  <c r="D70" i="26"/>
  <c r="F70" i="26" s="1"/>
  <c r="H70" i="26" s="1"/>
  <c r="C27" i="26"/>
  <c r="K26" i="26"/>
  <c r="L26" i="26" s="1"/>
  <c r="N26" i="26" s="1"/>
  <c r="P26" i="26" s="1"/>
  <c r="D26" i="26"/>
  <c r="F26" i="26" s="1"/>
  <c r="H26" i="26" s="1"/>
  <c r="C60" i="26"/>
  <c r="K59" i="26"/>
  <c r="L59" i="26" s="1"/>
  <c r="N59" i="26" s="1"/>
  <c r="P59" i="26" s="1"/>
  <c r="D59" i="26"/>
  <c r="F59" i="26" s="1"/>
  <c r="H59" i="26" s="1"/>
  <c r="AE24" i="9"/>
  <c r="U24" i="9"/>
  <c r="AG24" i="9"/>
  <c r="A25" i="9"/>
  <c r="C94" i="26" l="1"/>
  <c r="K93" i="26"/>
  <c r="L93" i="26" s="1"/>
  <c r="N93" i="26" s="1"/>
  <c r="P93" i="26" s="1"/>
  <c r="D93" i="26"/>
  <c r="F93" i="26" s="1"/>
  <c r="H93" i="26" s="1"/>
  <c r="C61" i="26"/>
  <c r="K60" i="26"/>
  <c r="L60" i="26" s="1"/>
  <c r="N60" i="26" s="1"/>
  <c r="P60" i="26" s="1"/>
  <c r="D60" i="26"/>
  <c r="F60" i="26" s="1"/>
  <c r="H60" i="26" s="1"/>
  <c r="C83" i="26"/>
  <c r="K82" i="26"/>
  <c r="L82" i="26" s="1"/>
  <c r="N82" i="26" s="1"/>
  <c r="P82" i="26" s="1"/>
  <c r="D82" i="26"/>
  <c r="F82" i="26" s="1"/>
  <c r="H82" i="26" s="1"/>
  <c r="C39" i="26"/>
  <c r="K38" i="26"/>
  <c r="L38" i="26" s="1"/>
  <c r="N38" i="26" s="1"/>
  <c r="P38" i="26" s="1"/>
  <c r="D38" i="26"/>
  <c r="F38" i="26" s="1"/>
  <c r="H38" i="26" s="1"/>
  <c r="C127" i="26"/>
  <c r="K126" i="26"/>
  <c r="L126" i="26" s="1"/>
  <c r="N126" i="26" s="1"/>
  <c r="P126" i="26" s="1"/>
  <c r="D126" i="26"/>
  <c r="F126" i="26" s="1"/>
  <c r="H126" i="26" s="1"/>
  <c r="C50" i="26"/>
  <c r="K49" i="26"/>
  <c r="L49" i="26" s="1"/>
  <c r="N49" i="26" s="1"/>
  <c r="P49" i="26" s="1"/>
  <c r="D49" i="26"/>
  <c r="F49" i="26" s="1"/>
  <c r="H49" i="26" s="1"/>
  <c r="C105" i="26"/>
  <c r="K104" i="26"/>
  <c r="L104" i="26" s="1"/>
  <c r="N104" i="26" s="1"/>
  <c r="P104" i="26" s="1"/>
  <c r="D104" i="26"/>
  <c r="F104" i="26" s="1"/>
  <c r="H104" i="26" s="1"/>
  <c r="C149" i="26"/>
  <c r="K137" i="26"/>
  <c r="L137" i="26" s="1"/>
  <c r="N137" i="26" s="1"/>
  <c r="P137" i="26" s="1"/>
  <c r="D137" i="26"/>
  <c r="F137" i="26" s="1"/>
  <c r="H137" i="26" s="1"/>
  <c r="C138" i="26"/>
  <c r="C28" i="26"/>
  <c r="K27" i="26"/>
  <c r="L27" i="26" s="1"/>
  <c r="N27" i="26" s="1"/>
  <c r="P27" i="26" s="1"/>
  <c r="D27" i="26"/>
  <c r="F27" i="26" s="1"/>
  <c r="H27" i="26" s="1"/>
  <c r="K16" i="26"/>
  <c r="L16" i="26" s="1"/>
  <c r="N16" i="26" s="1"/>
  <c r="P16" i="26" s="1"/>
  <c r="D16" i="26"/>
  <c r="F16" i="26" s="1"/>
  <c r="H16" i="26" s="1"/>
  <c r="C72" i="26"/>
  <c r="K71" i="26"/>
  <c r="L71" i="26" s="1"/>
  <c r="N71" i="26" s="1"/>
  <c r="P71" i="26" s="1"/>
  <c r="D71" i="26"/>
  <c r="F71" i="26" s="1"/>
  <c r="H71" i="26" s="1"/>
  <c r="C116" i="26"/>
  <c r="K115" i="26"/>
  <c r="L115" i="26" s="1"/>
  <c r="N115" i="26" s="1"/>
  <c r="P115" i="26" s="1"/>
  <c r="D115" i="26"/>
  <c r="F115" i="26" s="1"/>
  <c r="H115" i="26" s="1"/>
  <c r="AE25" i="9"/>
  <c r="U25" i="9"/>
  <c r="AG25" i="9"/>
  <c r="A26" i="9"/>
  <c r="C139" i="26" l="1"/>
  <c r="K138" i="26"/>
  <c r="L138" i="26" s="1"/>
  <c r="N138" i="26" s="1"/>
  <c r="P138" i="26" s="1"/>
  <c r="D138" i="26"/>
  <c r="F138" i="26" s="1"/>
  <c r="H138" i="26" s="1"/>
  <c r="C51" i="26"/>
  <c r="K50" i="26"/>
  <c r="L50" i="26" s="1"/>
  <c r="N50" i="26" s="1"/>
  <c r="P50" i="26" s="1"/>
  <c r="D50" i="26"/>
  <c r="F50" i="26" s="1"/>
  <c r="H50" i="26" s="1"/>
  <c r="C62" i="26"/>
  <c r="K61" i="26"/>
  <c r="L61" i="26" s="1"/>
  <c r="N61" i="26" s="1"/>
  <c r="P61" i="26" s="1"/>
  <c r="D61" i="26"/>
  <c r="F61" i="26" s="1"/>
  <c r="H61" i="26" s="1"/>
  <c r="C73" i="26"/>
  <c r="K72" i="26"/>
  <c r="L72" i="26" s="1"/>
  <c r="N72" i="26" s="1"/>
  <c r="P72" i="26" s="1"/>
  <c r="D72" i="26"/>
  <c r="F72" i="26" s="1"/>
  <c r="H72" i="26" s="1"/>
  <c r="C106" i="26"/>
  <c r="K105" i="26"/>
  <c r="L105" i="26" s="1"/>
  <c r="N105" i="26" s="1"/>
  <c r="P105" i="26" s="1"/>
  <c r="D105" i="26"/>
  <c r="F105" i="26" s="1"/>
  <c r="H105" i="26" s="1"/>
  <c r="C84" i="26"/>
  <c r="K83" i="26"/>
  <c r="L83" i="26" s="1"/>
  <c r="N83" i="26" s="1"/>
  <c r="P83" i="26" s="1"/>
  <c r="D83" i="26"/>
  <c r="F83" i="26" s="1"/>
  <c r="H83" i="26" s="1"/>
  <c r="C117" i="26"/>
  <c r="K116" i="26"/>
  <c r="L116" i="26" s="1"/>
  <c r="N116" i="26" s="1"/>
  <c r="P116" i="26" s="1"/>
  <c r="D116" i="26"/>
  <c r="F116" i="26" s="1"/>
  <c r="H116" i="26" s="1"/>
  <c r="K28" i="26"/>
  <c r="L28" i="26" s="1"/>
  <c r="N28" i="26" s="1"/>
  <c r="P28" i="26" s="1"/>
  <c r="D28" i="26"/>
  <c r="F28" i="26" s="1"/>
  <c r="H28" i="26" s="1"/>
  <c r="K149" i="26"/>
  <c r="L149" i="26" s="1"/>
  <c r="N149" i="26" s="1"/>
  <c r="P149" i="26" s="1"/>
  <c r="D149" i="26"/>
  <c r="F149" i="26" s="1"/>
  <c r="H149" i="26" s="1"/>
  <c r="C150" i="26"/>
  <c r="C161" i="26"/>
  <c r="C40" i="26"/>
  <c r="K39" i="26"/>
  <c r="L39" i="26" s="1"/>
  <c r="N39" i="26" s="1"/>
  <c r="P39" i="26" s="1"/>
  <c r="D39" i="26"/>
  <c r="F39" i="26" s="1"/>
  <c r="H39" i="26" s="1"/>
  <c r="C128" i="26"/>
  <c r="K127" i="26"/>
  <c r="L127" i="26" s="1"/>
  <c r="N127" i="26" s="1"/>
  <c r="P127" i="26" s="1"/>
  <c r="D127" i="26"/>
  <c r="F127" i="26" s="1"/>
  <c r="H127" i="26" s="1"/>
  <c r="C95" i="26"/>
  <c r="K94" i="26"/>
  <c r="L94" i="26" s="1"/>
  <c r="N94" i="26" s="1"/>
  <c r="P94" i="26" s="1"/>
  <c r="D94" i="26"/>
  <c r="F94" i="26" s="1"/>
  <c r="H94" i="26" s="1"/>
  <c r="AE26" i="9"/>
  <c r="U26" i="9"/>
  <c r="AG26" i="9"/>
  <c r="A27" i="9"/>
  <c r="K40" i="26" l="1"/>
  <c r="L40" i="26" s="1"/>
  <c r="N40" i="26" s="1"/>
  <c r="P40" i="26" s="1"/>
  <c r="D40" i="26"/>
  <c r="F40" i="26" s="1"/>
  <c r="H40" i="26" s="1"/>
  <c r="C85" i="26"/>
  <c r="K84" i="26"/>
  <c r="L84" i="26" s="1"/>
  <c r="N84" i="26" s="1"/>
  <c r="P84" i="26" s="1"/>
  <c r="D84" i="26"/>
  <c r="F84" i="26" s="1"/>
  <c r="H84" i="26" s="1"/>
  <c r="C52" i="26"/>
  <c r="K51" i="26"/>
  <c r="L51" i="26" s="1"/>
  <c r="N51" i="26" s="1"/>
  <c r="P51" i="26" s="1"/>
  <c r="D51" i="26"/>
  <c r="F51" i="26" s="1"/>
  <c r="H51" i="26" s="1"/>
  <c r="C129" i="26"/>
  <c r="K128" i="26"/>
  <c r="L128" i="26" s="1"/>
  <c r="N128" i="26" s="1"/>
  <c r="P128" i="26" s="1"/>
  <c r="D128" i="26"/>
  <c r="F128" i="26" s="1"/>
  <c r="H128" i="26" s="1"/>
  <c r="K161" i="26"/>
  <c r="L161" i="26" s="1"/>
  <c r="N161" i="26" s="1"/>
  <c r="P161" i="26" s="1"/>
  <c r="D161" i="26"/>
  <c r="F161" i="26" s="1"/>
  <c r="H161" i="26" s="1"/>
  <c r="C162" i="26"/>
  <c r="C173" i="26"/>
  <c r="C118" i="26"/>
  <c r="K117" i="26"/>
  <c r="L117" i="26" s="1"/>
  <c r="N117" i="26" s="1"/>
  <c r="P117" i="26" s="1"/>
  <c r="D117" i="26"/>
  <c r="F117" i="26" s="1"/>
  <c r="H117" i="26" s="1"/>
  <c r="C63" i="26"/>
  <c r="K62" i="26"/>
  <c r="L62" i="26" s="1"/>
  <c r="N62" i="26" s="1"/>
  <c r="P62" i="26" s="1"/>
  <c r="D62" i="26"/>
  <c r="F62" i="26" s="1"/>
  <c r="H62" i="26" s="1"/>
  <c r="C96" i="26"/>
  <c r="K95" i="26"/>
  <c r="L95" i="26" s="1"/>
  <c r="N95" i="26" s="1"/>
  <c r="P95" i="26" s="1"/>
  <c r="D95" i="26"/>
  <c r="F95" i="26" s="1"/>
  <c r="H95" i="26" s="1"/>
  <c r="C151" i="26"/>
  <c r="K150" i="26"/>
  <c r="L150" i="26" s="1"/>
  <c r="N150" i="26" s="1"/>
  <c r="P150" i="26" s="1"/>
  <c r="D150" i="26"/>
  <c r="F150" i="26" s="1"/>
  <c r="H150" i="26" s="1"/>
  <c r="C74" i="26"/>
  <c r="K73" i="26"/>
  <c r="L73" i="26" s="1"/>
  <c r="N73" i="26" s="1"/>
  <c r="P73" i="26" s="1"/>
  <c r="D73" i="26"/>
  <c r="F73" i="26" s="1"/>
  <c r="H73" i="26" s="1"/>
  <c r="C107" i="26"/>
  <c r="K106" i="26"/>
  <c r="L106" i="26" s="1"/>
  <c r="N106" i="26" s="1"/>
  <c r="P106" i="26" s="1"/>
  <c r="D106" i="26"/>
  <c r="F106" i="26" s="1"/>
  <c r="H106" i="26" s="1"/>
  <c r="C140" i="26"/>
  <c r="K139" i="26"/>
  <c r="L139" i="26" s="1"/>
  <c r="N139" i="26" s="1"/>
  <c r="P139" i="26" s="1"/>
  <c r="D139" i="26"/>
  <c r="F139" i="26" s="1"/>
  <c r="H139" i="26" s="1"/>
  <c r="AE27" i="9"/>
  <c r="U27" i="9"/>
  <c r="AG27" i="9"/>
  <c r="A28" i="9"/>
  <c r="C141" i="26" l="1"/>
  <c r="K140" i="26"/>
  <c r="L140" i="26" s="1"/>
  <c r="N140" i="26" s="1"/>
  <c r="P140" i="26" s="1"/>
  <c r="D140" i="26"/>
  <c r="F140" i="26" s="1"/>
  <c r="H140" i="26" s="1"/>
  <c r="K52" i="26"/>
  <c r="L52" i="26" s="1"/>
  <c r="N52" i="26" s="1"/>
  <c r="P52" i="26" s="1"/>
  <c r="D52" i="26"/>
  <c r="F52" i="26" s="1"/>
  <c r="H52" i="26" s="1"/>
  <c r="C75" i="26"/>
  <c r="K74" i="26"/>
  <c r="L74" i="26" s="1"/>
  <c r="N74" i="26" s="1"/>
  <c r="P74" i="26" s="1"/>
  <c r="D74" i="26"/>
  <c r="F74" i="26" s="1"/>
  <c r="H74" i="26" s="1"/>
  <c r="C119" i="26"/>
  <c r="K118" i="26"/>
  <c r="L118" i="26" s="1"/>
  <c r="N118" i="26" s="1"/>
  <c r="P118" i="26" s="1"/>
  <c r="D118" i="26"/>
  <c r="F118" i="26" s="1"/>
  <c r="H118" i="26" s="1"/>
  <c r="C64" i="26"/>
  <c r="K63" i="26"/>
  <c r="L63" i="26" s="1"/>
  <c r="N63" i="26" s="1"/>
  <c r="P63" i="26" s="1"/>
  <c r="D63" i="26"/>
  <c r="F63" i="26" s="1"/>
  <c r="H63" i="26" s="1"/>
  <c r="K173" i="26"/>
  <c r="L173" i="26" s="1"/>
  <c r="N173" i="26" s="1"/>
  <c r="P173" i="26" s="1"/>
  <c r="D173" i="26"/>
  <c r="F173" i="26" s="1"/>
  <c r="H173" i="26" s="1"/>
  <c r="C174" i="26"/>
  <c r="C185" i="26"/>
  <c r="C86" i="26"/>
  <c r="K85" i="26"/>
  <c r="L85" i="26" s="1"/>
  <c r="N85" i="26" s="1"/>
  <c r="P85" i="26" s="1"/>
  <c r="D85" i="26"/>
  <c r="F85" i="26" s="1"/>
  <c r="H85" i="26" s="1"/>
  <c r="C108" i="26"/>
  <c r="K107" i="26"/>
  <c r="L107" i="26" s="1"/>
  <c r="N107" i="26" s="1"/>
  <c r="P107" i="26" s="1"/>
  <c r="D107" i="26"/>
  <c r="F107" i="26" s="1"/>
  <c r="H107" i="26" s="1"/>
  <c r="C163" i="26"/>
  <c r="K162" i="26"/>
  <c r="L162" i="26" s="1"/>
  <c r="N162" i="26" s="1"/>
  <c r="P162" i="26" s="1"/>
  <c r="D162" i="26"/>
  <c r="F162" i="26" s="1"/>
  <c r="H162" i="26" s="1"/>
  <c r="C97" i="26"/>
  <c r="K96" i="26"/>
  <c r="L96" i="26" s="1"/>
  <c r="N96" i="26" s="1"/>
  <c r="P96" i="26" s="1"/>
  <c r="D96" i="26"/>
  <c r="F96" i="26" s="1"/>
  <c r="H96" i="26" s="1"/>
  <c r="C152" i="26"/>
  <c r="K151" i="26"/>
  <c r="L151" i="26" s="1"/>
  <c r="N151" i="26" s="1"/>
  <c r="P151" i="26" s="1"/>
  <c r="D151" i="26"/>
  <c r="F151" i="26" s="1"/>
  <c r="H151" i="26" s="1"/>
  <c r="C130" i="26"/>
  <c r="K129" i="26"/>
  <c r="L129" i="26" s="1"/>
  <c r="N129" i="26" s="1"/>
  <c r="P129" i="26" s="1"/>
  <c r="D129" i="26"/>
  <c r="F129" i="26" s="1"/>
  <c r="H129" i="26" s="1"/>
  <c r="AE28" i="9"/>
  <c r="U28" i="9"/>
  <c r="AG28" i="9"/>
  <c r="A29" i="9"/>
  <c r="C98" i="26" l="1"/>
  <c r="K97" i="26"/>
  <c r="L97" i="26" s="1"/>
  <c r="N97" i="26" s="1"/>
  <c r="P97" i="26" s="1"/>
  <c r="D97" i="26"/>
  <c r="F97" i="26" s="1"/>
  <c r="H97" i="26" s="1"/>
  <c r="K64" i="26"/>
  <c r="L64" i="26" s="1"/>
  <c r="N64" i="26" s="1"/>
  <c r="P64" i="26" s="1"/>
  <c r="D64" i="26"/>
  <c r="F64" i="26" s="1"/>
  <c r="H64" i="26" s="1"/>
  <c r="C153" i="26"/>
  <c r="K152" i="26"/>
  <c r="L152" i="26" s="1"/>
  <c r="N152" i="26" s="1"/>
  <c r="P152" i="26" s="1"/>
  <c r="D152" i="26"/>
  <c r="F152" i="26" s="1"/>
  <c r="H152" i="26" s="1"/>
  <c r="C87" i="26"/>
  <c r="K86" i="26"/>
  <c r="L86" i="26" s="1"/>
  <c r="N86" i="26" s="1"/>
  <c r="P86" i="26" s="1"/>
  <c r="D86" i="26"/>
  <c r="F86" i="26" s="1"/>
  <c r="H86" i="26" s="1"/>
  <c r="C131" i="26"/>
  <c r="K130" i="26"/>
  <c r="L130" i="26" s="1"/>
  <c r="N130" i="26" s="1"/>
  <c r="P130" i="26" s="1"/>
  <c r="D130" i="26"/>
  <c r="F130" i="26" s="1"/>
  <c r="H130" i="26" s="1"/>
  <c r="C109" i="26"/>
  <c r="K108" i="26"/>
  <c r="L108" i="26" s="1"/>
  <c r="N108" i="26" s="1"/>
  <c r="P108" i="26" s="1"/>
  <c r="D108" i="26"/>
  <c r="F108" i="26" s="1"/>
  <c r="H108" i="26" s="1"/>
  <c r="C186" i="26"/>
  <c r="K185" i="26"/>
  <c r="L185" i="26" s="1"/>
  <c r="N185" i="26" s="1"/>
  <c r="P185" i="26" s="1"/>
  <c r="D185" i="26"/>
  <c r="F185" i="26" s="1"/>
  <c r="H185" i="26" s="1"/>
  <c r="C197" i="26"/>
  <c r="C76" i="26"/>
  <c r="K75" i="26"/>
  <c r="L75" i="26" s="1"/>
  <c r="N75" i="26" s="1"/>
  <c r="P75" i="26" s="1"/>
  <c r="D75" i="26"/>
  <c r="F75" i="26" s="1"/>
  <c r="H75" i="26" s="1"/>
  <c r="C164" i="26"/>
  <c r="K163" i="26"/>
  <c r="L163" i="26" s="1"/>
  <c r="N163" i="26" s="1"/>
  <c r="P163" i="26" s="1"/>
  <c r="D163" i="26"/>
  <c r="F163" i="26" s="1"/>
  <c r="H163" i="26" s="1"/>
  <c r="C175" i="26"/>
  <c r="K174" i="26"/>
  <c r="L174" i="26" s="1"/>
  <c r="N174" i="26" s="1"/>
  <c r="P174" i="26" s="1"/>
  <c r="D174" i="26"/>
  <c r="F174" i="26" s="1"/>
  <c r="H174" i="26" s="1"/>
  <c r="C120" i="26"/>
  <c r="K119" i="26"/>
  <c r="L119" i="26" s="1"/>
  <c r="N119" i="26" s="1"/>
  <c r="P119" i="26" s="1"/>
  <c r="D119" i="26"/>
  <c r="F119" i="26" s="1"/>
  <c r="H119" i="26" s="1"/>
  <c r="C142" i="26"/>
  <c r="K141" i="26"/>
  <c r="L141" i="26" s="1"/>
  <c r="N141" i="26" s="1"/>
  <c r="P141" i="26" s="1"/>
  <c r="D141" i="26"/>
  <c r="F141" i="26" s="1"/>
  <c r="H141" i="26" s="1"/>
  <c r="AE29" i="9"/>
  <c r="U29" i="9"/>
  <c r="AG29" i="9"/>
  <c r="A30" i="9"/>
  <c r="C176" i="26" l="1"/>
  <c r="K175" i="26"/>
  <c r="L175" i="26" s="1"/>
  <c r="N175" i="26" s="1"/>
  <c r="P175" i="26" s="1"/>
  <c r="D175" i="26"/>
  <c r="F175" i="26" s="1"/>
  <c r="H175" i="26" s="1"/>
  <c r="C132" i="26"/>
  <c r="K131" i="26"/>
  <c r="L131" i="26" s="1"/>
  <c r="N131" i="26" s="1"/>
  <c r="P131" i="26" s="1"/>
  <c r="D131" i="26"/>
  <c r="F131" i="26" s="1"/>
  <c r="H131" i="26" s="1"/>
  <c r="C110" i="26"/>
  <c r="K109" i="26"/>
  <c r="L109" i="26" s="1"/>
  <c r="N109" i="26" s="1"/>
  <c r="P109" i="26" s="1"/>
  <c r="D109" i="26"/>
  <c r="F109" i="26" s="1"/>
  <c r="H109" i="26" s="1"/>
  <c r="C121" i="26"/>
  <c r="K120" i="26"/>
  <c r="L120" i="26" s="1"/>
  <c r="N120" i="26" s="1"/>
  <c r="P120" i="26" s="1"/>
  <c r="D120" i="26"/>
  <c r="F120" i="26" s="1"/>
  <c r="H120" i="26" s="1"/>
  <c r="C143" i="26"/>
  <c r="K142" i="26"/>
  <c r="L142" i="26" s="1"/>
  <c r="N142" i="26" s="1"/>
  <c r="P142" i="26" s="1"/>
  <c r="D142" i="26"/>
  <c r="F142" i="26" s="1"/>
  <c r="H142" i="26" s="1"/>
  <c r="K76" i="26"/>
  <c r="L76" i="26" s="1"/>
  <c r="N76" i="26" s="1"/>
  <c r="P76" i="26" s="1"/>
  <c r="D76" i="26"/>
  <c r="F76" i="26" s="1"/>
  <c r="H76" i="26" s="1"/>
  <c r="C187" i="26"/>
  <c r="K186" i="26"/>
  <c r="L186" i="26" s="1"/>
  <c r="N186" i="26" s="1"/>
  <c r="P186" i="26" s="1"/>
  <c r="D186" i="26"/>
  <c r="F186" i="26" s="1"/>
  <c r="H186" i="26" s="1"/>
  <c r="C154" i="26"/>
  <c r="K153" i="26"/>
  <c r="L153" i="26" s="1"/>
  <c r="N153" i="26" s="1"/>
  <c r="P153" i="26" s="1"/>
  <c r="D153" i="26"/>
  <c r="F153" i="26" s="1"/>
  <c r="H153" i="26" s="1"/>
  <c r="C165" i="26"/>
  <c r="K164" i="26"/>
  <c r="L164" i="26" s="1"/>
  <c r="N164" i="26" s="1"/>
  <c r="P164" i="26" s="1"/>
  <c r="D164" i="26"/>
  <c r="F164" i="26" s="1"/>
  <c r="H164" i="26" s="1"/>
  <c r="C198" i="26"/>
  <c r="K197" i="26"/>
  <c r="L197" i="26" s="1"/>
  <c r="N197" i="26" s="1"/>
  <c r="P197" i="26" s="1"/>
  <c r="D197" i="26"/>
  <c r="F197" i="26" s="1"/>
  <c r="H197" i="26" s="1"/>
  <c r="C209" i="26"/>
  <c r="C88" i="26"/>
  <c r="K87" i="26"/>
  <c r="L87" i="26" s="1"/>
  <c r="N87" i="26" s="1"/>
  <c r="P87" i="26" s="1"/>
  <c r="D87" i="26"/>
  <c r="F87" i="26" s="1"/>
  <c r="H87" i="26" s="1"/>
  <c r="C99" i="26"/>
  <c r="K98" i="26"/>
  <c r="L98" i="26" s="1"/>
  <c r="N98" i="26" s="1"/>
  <c r="P98" i="26" s="1"/>
  <c r="D98" i="26"/>
  <c r="F98" i="26" s="1"/>
  <c r="H98" i="26" s="1"/>
  <c r="AE30" i="9"/>
  <c r="U30" i="9"/>
  <c r="AG30" i="9"/>
  <c r="A31" i="9"/>
  <c r="C166" i="26" l="1"/>
  <c r="K165" i="26"/>
  <c r="L165" i="26" s="1"/>
  <c r="N165" i="26" s="1"/>
  <c r="P165" i="26" s="1"/>
  <c r="D165" i="26"/>
  <c r="F165" i="26" s="1"/>
  <c r="H165" i="26" s="1"/>
  <c r="C133" i="26"/>
  <c r="K132" i="26"/>
  <c r="L132" i="26" s="1"/>
  <c r="N132" i="26" s="1"/>
  <c r="P132" i="26" s="1"/>
  <c r="D132" i="26"/>
  <c r="F132" i="26" s="1"/>
  <c r="H132" i="26" s="1"/>
  <c r="K88" i="26"/>
  <c r="L88" i="26" s="1"/>
  <c r="N88" i="26" s="1"/>
  <c r="P88" i="26" s="1"/>
  <c r="D88" i="26"/>
  <c r="F88" i="26" s="1"/>
  <c r="H88" i="26" s="1"/>
  <c r="C199" i="26"/>
  <c r="K198" i="26"/>
  <c r="L198" i="26" s="1"/>
  <c r="N198" i="26" s="1"/>
  <c r="P198" i="26" s="1"/>
  <c r="D198" i="26"/>
  <c r="F198" i="26" s="1"/>
  <c r="H198" i="26" s="1"/>
  <c r="C111" i="26"/>
  <c r="K110" i="26"/>
  <c r="L110" i="26" s="1"/>
  <c r="N110" i="26" s="1"/>
  <c r="P110" i="26" s="1"/>
  <c r="D110" i="26"/>
  <c r="F110" i="26" s="1"/>
  <c r="H110" i="26" s="1"/>
  <c r="C100" i="26"/>
  <c r="K99" i="26"/>
  <c r="L99" i="26" s="1"/>
  <c r="N99" i="26" s="1"/>
  <c r="P99" i="26" s="1"/>
  <c r="D99" i="26"/>
  <c r="F99" i="26" s="1"/>
  <c r="H99" i="26" s="1"/>
  <c r="K209" i="26"/>
  <c r="L209" i="26" s="1"/>
  <c r="N209" i="26" s="1"/>
  <c r="P209" i="26" s="1"/>
  <c r="D209" i="26"/>
  <c r="F209" i="26" s="1"/>
  <c r="H209" i="26" s="1"/>
  <c r="C221" i="26"/>
  <c r="C210" i="26"/>
  <c r="C188" i="26"/>
  <c r="K187" i="26"/>
  <c r="L187" i="26" s="1"/>
  <c r="N187" i="26" s="1"/>
  <c r="P187" i="26" s="1"/>
  <c r="D187" i="26"/>
  <c r="F187" i="26" s="1"/>
  <c r="H187" i="26" s="1"/>
  <c r="C122" i="26"/>
  <c r="K121" i="26"/>
  <c r="L121" i="26" s="1"/>
  <c r="N121" i="26" s="1"/>
  <c r="P121" i="26" s="1"/>
  <c r="D121" i="26"/>
  <c r="F121" i="26" s="1"/>
  <c r="H121" i="26" s="1"/>
  <c r="C155" i="26"/>
  <c r="K154" i="26"/>
  <c r="L154" i="26" s="1"/>
  <c r="N154" i="26" s="1"/>
  <c r="P154" i="26" s="1"/>
  <c r="D154" i="26"/>
  <c r="F154" i="26" s="1"/>
  <c r="H154" i="26" s="1"/>
  <c r="C144" i="26"/>
  <c r="K143" i="26"/>
  <c r="L143" i="26" s="1"/>
  <c r="N143" i="26" s="1"/>
  <c r="P143" i="26" s="1"/>
  <c r="D143" i="26"/>
  <c r="F143" i="26" s="1"/>
  <c r="H143" i="26" s="1"/>
  <c r="C177" i="26"/>
  <c r="K176" i="26"/>
  <c r="L176" i="26" s="1"/>
  <c r="N176" i="26" s="1"/>
  <c r="P176" i="26" s="1"/>
  <c r="D176" i="26"/>
  <c r="F176" i="26" s="1"/>
  <c r="H176" i="26" s="1"/>
  <c r="AE31" i="9"/>
  <c r="U31" i="9"/>
  <c r="AG31" i="9"/>
  <c r="A32" i="9"/>
  <c r="C156" i="26" l="1"/>
  <c r="K155" i="26"/>
  <c r="L155" i="26" s="1"/>
  <c r="N155" i="26" s="1"/>
  <c r="P155" i="26" s="1"/>
  <c r="D155" i="26"/>
  <c r="F155" i="26" s="1"/>
  <c r="H155" i="26" s="1"/>
  <c r="K221" i="26"/>
  <c r="L221" i="26" s="1"/>
  <c r="N221" i="26" s="1"/>
  <c r="P221" i="26" s="1"/>
  <c r="D221" i="26"/>
  <c r="F221" i="26" s="1"/>
  <c r="H221" i="26" s="1"/>
  <c r="C222" i="26"/>
  <c r="C233" i="26"/>
  <c r="C112" i="26"/>
  <c r="K111" i="26"/>
  <c r="L111" i="26" s="1"/>
  <c r="N111" i="26" s="1"/>
  <c r="P111" i="26" s="1"/>
  <c r="D111" i="26"/>
  <c r="F111" i="26" s="1"/>
  <c r="H111" i="26" s="1"/>
  <c r="C134" i="26"/>
  <c r="K133" i="26"/>
  <c r="L133" i="26" s="1"/>
  <c r="N133" i="26" s="1"/>
  <c r="P133" i="26" s="1"/>
  <c r="D133" i="26"/>
  <c r="F133" i="26" s="1"/>
  <c r="H133" i="26" s="1"/>
  <c r="C145" i="26"/>
  <c r="K144" i="26"/>
  <c r="L144" i="26" s="1"/>
  <c r="N144" i="26" s="1"/>
  <c r="P144" i="26" s="1"/>
  <c r="D144" i="26"/>
  <c r="F144" i="26" s="1"/>
  <c r="H144" i="26" s="1"/>
  <c r="K100" i="26"/>
  <c r="L100" i="26" s="1"/>
  <c r="N100" i="26" s="1"/>
  <c r="P100" i="26" s="1"/>
  <c r="D100" i="26"/>
  <c r="F100" i="26" s="1"/>
  <c r="H100" i="26" s="1"/>
  <c r="C178" i="26"/>
  <c r="K177" i="26"/>
  <c r="L177" i="26" s="1"/>
  <c r="N177" i="26" s="1"/>
  <c r="P177" i="26" s="1"/>
  <c r="D177" i="26"/>
  <c r="F177" i="26" s="1"/>
  <c r="H177" i="26" s="1"/>
  <c r="C189" i="26"/>
  <c r="K188" i="26"/>
  <c r="L188" i="26" s="1"/>
  <c r="N188" i="26" s="1"/>
  <c r="P188" i="26" s="1"/>
  <c r="D188" i="26"/>
  <c r="F188" i="26" s="1"/>
  <c r="H188" i="26" s="1"/>
  <c r="C123" i="26"/>
  <c r="K122" i="26"/>
  <c r="L122" i="26" s="1"/>
  <c r="N122" i="26" s="1"/>
  <c r="P122" i="26" s="1"/>
  <c r="D122" i="26"/>
  <c r="F122" i="26" s="1"/>
  <c r="H122" i="26" s="1"/>
  <c r="C211" i="26"/>
  <c r="K210" i="26"/>
  <c r="L210" i="26" s="1"/>
  <c r="N210" i="26" s="1"/>
  <c r="P210" i="26" s="1"/>
  <c r="D210" i="26"/>
  <c r="F210" i="26" s="1"/>
  <c r="H210" i="26" s="1"/>
  <c r="C200" i="26"/>
  <c r="K199" i="26"/>
  <c r="L199" i="26" s="1"/>
  <c r="N199" i="26" s="1"/>
  <c r="P199" i="26" s="1"/>
  <c r="D199" i="26"/>
  <c r="F199" i="26" s="1"/>
  <c r="H199" i="26" s="1"/>
  <c r="C167" i="26"/>
  <c r="K166" i="26"/>
  <c r="L166" i="26" s="1"/>
  <c r="N166" i="26" s="1"/>
  <c r="P166" i="26" s="1"/>
  <c r="D166" i="26"/>
  <c r="F166" i="26" s="1"/>
  <c r="H166" i="26" s="1"/>
  <c r="AE32" i="9"/>
  <c r="U32" i="9"/>
  <c r="AG32" i="9"/>
  <c r="A33" i="9"/>
  <c r="C168" i="26" l="1"/>
  <c r="K167" i="26"/>
  <c r="L167" i="26" s="1"/>
  <c r="N167" i="26" s="1"/>
  <c r="P167" i="26" s="1"/>
  <c r="D167" i="26"/>
  <c r="F167" i="26" s="1"/>
  <c r="H167" i="26" s="1"/>
  <c r="C212" i="26"/>
  <c r="K211" i="26"/>
  <c r="L211" i="26" s="1"/>
  <c r="N211" i="26" s="1"/>
  <c r="P211" i="26" s="1"/>
  <c r="D211" i="26"/>
  <c r="F211" i="26" s="1"/>
  <c r="H211" i="26" s="1"/>
  <c r="K112" i="26"/>
  <c r="L112" i="26" s="1"/>
  <c r="N112" i="26" s="1"/>
  <c r="P112" i="26" s="1"/>
  <c r="D112" i="26"/>
  <c r="F112" i="26" s="1"/>
  <c r="H112" i="26" s="1"/>
  <c r="C201" i="26"/>
  <c r="K200" i="26"/>
  <c r="L200" i="26" s="1"/>
  <c r="N200" i="26" s="1"/>
  <c r="P200" i="26" s="1"/>
  <c r="D200" i="26"/>
  <c r="F200" i="26" s="1"/>
  <c r="H200" i="26" s="1"/>
  <c r="C179" i="26"/>
  <c r="K178" i="26"/>
  <c r="L178" i="26" s="1"/>
  <c r="N178" i="26" s="1"/>
  <c r="P178" i="26" s="1"/>
  <c r="D178" i="26"/>
  <c r="F178" i="26" s="1"/>
  <c r="H178" i="26" s="1"/>
  <c r="C135" i="26"/>
  <c r="K134" i="26"/>
  <c r="L134" i="26" s="1"/>
  <c r="N134" i="26" s="1"/>
  <c r="P134" i="26" s="1"/>
  <c r="D134" i="26"/>
  <c r="F134" i="26" s="1"/>
  <c r="H134" i="26" s="1"/>
  <c r="K233" i="26"/>
  <c r="L233" i="26" s="1"/>
  <c r="N233" i="26" s="1"/>
  <c r="P233" i="26" s="1"/>
  <c r="D233" i="26"/>
  <c r="F233" i="26" s="1"/>
  <c r="H233" i="26" s="1"/>
  <c r="C245" i="26"/>
  <c r="C234" i="26"/>
  <c r="C190" i="26"/>
  <c r="K189" i="26"/>
  <c r="L189" i="26" s="1"/>
  <c r="N189" i="26" s="1"/>
  <c r="P189" i="26" s="1"/>
  <c r="D189" i="26"/>
  <c r="F189" i="26" s="1"/>
  <c r="H189" i="26" s="1"/>
  <c r="C146" i="26"/>
  <c r="K145" i="26"/>
  <c r="L145" i="26" s="1"/>
  <c r="N145" i="26" s="1"/>
  <c r="P145" i="26" s="1"/>
  <c r="D145" i="26"/>
  <c r="F145" i="26" s="1"/>
  <c r="H145" i="26" s="1"/>
  <c r="C223" i="26"/>
  <c r="K222" i="26"/>
  <c r="L222" i="26" s="1"/>
  <c r="N222" i="26" s="1"/>
  <c r="P222" i="26" s="1"/>
  <c r="D222" i="26"/>
  <c r="F222" i="26" s="1"/>
  <c r="H222" i="26" s="1"/>
  <c r="C124" i="26"/>
  <c r="K123" i="26"/>
  <c r="L123" i="26" s="1"/>
  <c r="N123" i="26" s="1"/>
  <c r="P123" i="26" s="1"/>
  <c r="D123" i="26"/>
  <c r="F123" i="26" s="1"/>
  <c r="H123" i="26" s="1"/>
  <c r="C157" i="26"/>
  <c r="K156" i="26"/>
  <c r="L156" i="26" s="1"/>
  <c r="N156" i="26" s="1"/>
  <c r="P156" i="26" s="1"/>
  <c r="D156" i="26"/>
  <c r="F156" i="26" s="1"/>
  <c r="H156" i="26" s="1"/>
  <c r="AE33" i="9"/>
  <c r="U33" i="9"/>
  <c r="AG33" i="9"/>
  <c r="A34" i="9"/>
  <c r="C158" i="26" l="1"/>
  <c r="K157" i="26"/>
  <c r="L157" i="26" s="1"/>
  <c r="N157" i="26" s="1"/>
  <c r="P157" i="26" s="1"/>
  <c r="D157" i="26"/>
  <c r="F157" i="26" s="1"/>
  <c r="H157" i="26" s="1"/>
  <c r="C147" i="26"/>
  <c r="K146" i="26"/>
  <c r="L146" i="26" s="1"/>
  <c r="N146" i="26" s="1"/>
  <c r="P146" i="26" s="1"/>
  <c r="D146" i="26"/>
  <c r="F146" i="26" s="1"/>
  <c r="H146" i="26" s="1"/>
  <c r="C224" i="26"/>
  <c r="K223" i="26"/>
  <c r="L223" i="26" s="1"/>
  <c r="N223" i="26" s="1"/>
  <c r="P223" i="26" s="1"/>
  <c r="D223" i="26"/>
  <c r="F223" i="26" s="1"/>
  <c r="H223" i="26" s="1"/>
  <c r="C246" i="26"/>
  <c r="K245" i="26"/>
  <c r="L245" i="26" s="1"/>
  <c r="N245" i="26" s="1"/>
  <c r="P245" i="26" s="1"/>
  <c r="D245" i="26"/>
  <c r="F245" i="26" s="1"/>
  <c r="H245" i="26" s="1"/>
  <c r="C257" i="26"/>
  <c r="C180" i="26"/>
  <c r="K179" i="26"/>
  <c r="L179" i="26" s="1"/>
  <c r="N179" i="26" s="1"/>
  <c r="P179" i="26" s="1"/>
  <c r="D179" i="26"/>
  <c r="F179" i="26" s="1"/>
  <c r="H179" i="26" s="1"/>
  <c r="C213" i="26"/>
  <c r="K212" i="26"/>
  <c r="L212" i="26" s="1"/>
  <c r="N212" i="26" s="1"/>
  <c r="P212" i="26" s="1"/>
  <c r="D212" i="26"/>
  <c r="F212" i="26" s="1"/>
  <c r="H212" i="26" s="1"/>
  <c r="K124" i="26"/>
  <c r="L124" i="26" s="1"/>
  <c r="N124" i="26" s="1"/>
  <c r="P124" i="26" s="1"/>
  <c r="D124" i="26"/>
  <c r="F124" i="26" s="1"/>
  <c r="H124" i="26" s="1"/>
  <c r="C136" i="26"/>
  <c r="K135" i="26"/>
  <c r="L135" i="26" s="1"/>
  <c r="N135" i="26" s="1"/>
  <c r="P135" i="26" s="1"/>
  <c r="D135" i="26"/>
  <c r="F135" i="26" s="1"/>
  <c r="H135" i="26" s="1"/>
  <c r="C191" i="26"/>
  <c r="K190" i="26"/>
  <c r="L190" i="26" s="1"/>
  <c r="N190" i="26" s="1"/>
  <c r="P190" i="26" s="1"/>
  <c r="D190" i="26"/>
  <c r="F190" i="26" s="1"/>
  <c r="H190" i="26" s="1"/>
  <c r="C235" i="26"/>
  <c r="K234" i="26"/>
  <c r="L234" i="26" s="1"/>
  <c r="N234" i="26" s="1"/>
  <c r="P234" i="26" s="1"/>
  <c r="D234" i="26"/>
  <c r="F234" i="26" s="1"/>
  <c r="H234" i="26" s="1"/>
  <c r="C202" i="26"/>
  <c r="K201" i="26"/>
  <c r="L201" i="26" s="1"/>
  <c r="N201" i="26" s="1"/>
  <c r="P201" i="26" s="1"/>
  <c r="D201" i="26"/>
  <c r="F201" i="26" s="1"/>
  <c r="H201" i="26" s="1"/>
  <c r="C169" i="26"/>
  <c r="K168" i="26"/>
  <c r="L168" i="26" s="1"/>
  <c r="N168" i="26" s="1"/>
  <c r="P168" i="26" s="1"/>
  <c r="D168" i="26"/>
  <c r="F168" i="26" s="1"/>
  <c r="H168" i="26" s="1"/>
  <c r="AE34" i="9"/>
  <c r="U34" i="9"/>
  <c r="AG34" i="9"/>
  <c r="A35" i="9"/>
  <c r="C236" i="26" l="1"/>
  <c r="K235" i="26"/>
  <c r="L235" i="26" s="1"/>
  <c r="N235" i="26" s="1"/>
  <c r="P235" i="26" s="1"/>
  <c r="D235" i="26"/>
  <c r="F235" i="26" s="1"/>
  <c r="H235" i="26" s="1"/>
  <c r="C148" i="26"/>
  <c r="K147" i="26"/>
  <c r="L147" i="26" s="1"/>
  <c r="N147" i="26" s="1"/>
  <c r="P147" i="26" s="1"/>
  <c r="D147" i="26"/>
  <c r="F147" i="26" s="1"/>
  <c r="H147" i="26" s="1"/>
  <c r="C203" i="26"/>
  <c r="K202" i="26"/>
  <c r="L202" i="26" s="1"/>
  <c r="N202" i="26" s="1"/>
  <c r="P202" i="26" s="1"/>
  <c r="D202" i="26"/>
  <c r="F202" i="26" s="1"/>
  <c r="H202" i="26" s="1"/>
  <c r="C225" i="26"/>
  <c r="K224" i="26"/>
  <c r="L224" i="26" s="1"/>
  <c r="N224" i="26" s="1"/>
  <c r="P224" i="26" s="1"/>
  <c r="D224" i="26"/>
  <c r="F224" i="26" s="1"/>
  <c r="H224" i="26" s="1"/>
  <c r="C181" i="26"/>
  <c r="K180" i="26"/>
  <c r="L180" i="26" s="1"/>
  <c r="N180" i="26" s="1"/>
  <c r="P180" i="26" s="1"/>
  <c r="D180" i="26"/>
  <c r="F180" i="26" s="1"/>
  <c r="H180" i="26" s="1"/>
  <c r="C247" i="26"/>
  <c r="K246" i="26"/>
  <c r="L246" i="26" s="1"/>
  <c r="N246" i="26" s="1"/>
  <c r="P246" i="26" s="1"/>
  <c r="D246" i="26"/>
  <c r="F246" i="26" s="1"/>
  <c r="H246" i="26" s="1"/>
  <c r="C170" i="26"/>
  <c r="K169" i="26"/>
  <c r="L169" i="26" s="1"/>
  <c r="N169" i="26" s="1"/>
  <c r="P169" i="26" s="1"/>
  <c r="D169" i="26"/>
  <c r="F169" i="26" s="1"/>
  <c r="H169" i="26" s="1"/>
  <c r="K136" i="26"/>
  <c r="L136" i="26" s="1"/>
  <c r="N136" i="26" s="1"/>
  <c r="P136" i="26" s="1"/>
  <c r="D136" i="26"/>
  <c r="F136" i="26" s="1"/>
  <c r="H136" i="26" s="1"/>
  <c r="C192" i="26"/>
  <c r="K191" i="26"/>
  <c r="L191" i="26" s="1"/>
  <c r="N191" i="26" s="1"/>
  <c r="P191" i="26" s="1"/>
  <c r="D191" i="26"/>
  <c r="F191" i="26" s="1"/>
  <c r="H191" i="26" s="1"/>
  <c r="C214" i="26"/>
  <c r="K213" i="26"/>
  <c r="L213" i="26" s="1"/>
  <c r="N213" i="26" s="1"/>
  <c r="P213" i="26" s="1"/>
  <c r="D213" i="26"/>
  <c r="F213" i="26" s="1"/>
  <c r="H213" i="26" s="1"/>
  <c r="C258" i="26"/>
  <c r="K257" i="26"/>
  <c r="L257" i="26" s="1"/>
  <c r="N257" i="26" s="1"/>
  <c r="P257" i="26" s="1"/>
  <c r="D257" i="26"/>
  <c r="F257" i="26" s="1"/>
  <c r="H257" i="26" s="1"/>
  <c r="C269" i="26"/>
  <c r="C159" i="26"/>
  <c r="K158" i="26"/>
  <c r="L158" i="26" s="1"/>
  <c r="N158" i="26" s="1"/>
  <c r="P158" i="26" s="1"/>
  <c r="D158" i="26"/>
  <c r="F158" i="26" s="1"/>
  <c r="H158" i="26" s="1"/>
  <c r="AE35" i="9"/>
  <c r="U35" i="9"/>
  <c r="AG35" i="9"/>
  <c r="A36" i="9"/>
  <c r="C193" i="26" l="1"/>
  <c r="K192" i="26"/>
  <c r="L192" i="26" s="1"/>
  <c r="N192" i="26" s="1"/>
  <c r="P192" i="26" s="1"/>
  <c r="D192" i="26"/>
  <c r="F192" i="26" s="1"/>
  <c r="H192" i="26" s="1"/>
  <c r="C248" i="26"/>
  <c r="K247" i="26"/>
  <c r="L247" i="26" s="1"/>
  <c r="N247" i="26" s="1"/>
  <c r="P247" i="26" s="1"/>
  <c r="D247" i="26"/>
  <c r="F247" i="26" s="1"/>
  <c r="H247" i="26" s="1"/>
  <c r="K148" i="26"/>
  <c r="L148" i="26" s="1"/>
  <c r="N148" i="26" s="1"/>
  <c r="P148" i="26" s="1"/>
  <c r="D148" i="26"/>
  <c r="F148" i="26" s="1"/>
  <c r="H148" i="26" s="1"/>
  <c r="C215" i="26"/>
  <c r="K214" i="26"/>
  <c r="L214" i="26" s="1"/>
  <c r="N214" i="26" s="1"/>
  <c r="P214" i="26" s="1"/>
  <c r="D214" i="26"/>
  <c r="F214" i="26" s="1"/>
  <c r="H214" i="26" s="1"/>
  <c r="C171" i="26"/>
  <c r="K170" i="26"/>
  <c r="L170" i="26" s="1"/>
  <c r="N170" i="26" s="1"/>
  <c r="P170" i="26" s="1"/>
  <c r="D170" i="26"/>
  <c r="F170" i="26" s="1"/>
  <c r="H170" i="26" s="1"/>
  <c r="C204" i="26"/>
  <c r="K203" i="26"/>
  <c r="L203" i="26" s="1"/>
  <c r="N203" i="26" s="1"/>
  <c r="P203" i="26" s="1"/>
  <c r="D203" i="26"/>
  <c r="F203" i="26" s="1"/>
  <c r="H203" i="26" s="1"/>
  <c r="C160" i="26"/>
  <c r="K159" i="26"/>
  <c r="L159" i="26" s="1"/>
  <c r="N159" i="26" s="1"/>
  <c r="P159" i="26" s="1"/>
  <c r="D159" i="26"/>
  <c r="F159" i="26" s="1"/>
  <c r="H159" i="26" s="1"/>
  <c r="C259" i="26"/>
  <c r="K258" i="26"/>
  <c r="L258" i="26" s="1"/>
  <c r="N258" i="26" s="1"/>
  <c r="P258" i="26" s="1"/>
  <c r="D258" i="26"/>
  <c r="F258" i="26" s="1"/>
  <c r="H258" i="26" s="1"/>
  <c r="C226" i="26"/>
  <c r="K225" i="26"/>
  <c r="L225" i="26" s="1"/>
  <c r="N225" i="26" s="1"/>
  <c r="P225" i="26" s="1"/>
  <c r="D225" i="26"/>
  <c r="F225" i="26" s="1"/>
  <c r="H225" i="26" s="1"/>
  <c r="K269" i="26"/>
  <c r="L269" i="26" s="1"/>
  <c r="N269" i="26" s="1"/>
  <c r="P269" i="26" s="1"/>
  <c r="D269" i="26"/>
  <c r="F269" i="26" s="1"/>
  <c r="H269" i="26" s="1"/>
  <c r="C270" i="26"/>
  <c r="C281" i="26"/>
  <c r="C182" i="26"/>
  <c r="K181" i="26"/>
  <c r="L181" i="26" s="1"/>
  <c r="N181" i="26" s="1"/>
  <c r="P181" i="26" s="1"/>
  <c r="D181" i="26"/>
  <c r="F181" i="26" s="1"/>
  <c r="H181" i="26" s="1"/>
  <c r="C237" i="26"/>
  <c r="K236" i="26"/>
  <c r="L236" i="26" s="1"/>
  <c r="N236" i="26" s="1"/>
  <c r="P236" i="26" s="1"/>
  <c r="D236" i="26"/>
  <c r="F236" i="26" s="1"/>
  <c r="H236" i="26" s="1"/>
  <c r="AE36" i="9"/>
  <c r="U36" i="9"/>
  <c r="AG36" i="9"/>
  <c r="A37" i="9"/>
  <c r="C227" i="26" l="1"/>
  <c r="K226" i="26"/>
  <c r="L226" i="26" s="1"/>
  <c r="N226" i="26" s="1"/>
  <c r="P226" i="26" s="1"/>
  <c r="D226" i="26"/>
  <c r="F226" i="26" s="1"/>
  <c r="H226" i="26" s="1"/>
  <c r="C172" i="26"/>
  <c r="K171" i="26"/>
  <c r="L171" i="26" s="1"/>
  <c r="N171" i="26" s="1"/>
  <c r="P171" i="26" s="1"/>
  <c r="D171" i="26"/>
  <c r="F171" i="26" s="1"/>
  <c r="H171" i="26" s="1"/>
  <c r="C249" i="26"/>
  <c r="K248" i="26"/>
  <c r="L248" i="26" s="1"/>
  <c r="N248" i="26" s="1"/>
  <c r="P248" i="26" s="1"/>
  <c r="D248" i="26"/>
  <c r="F248" i="26" s="1"/>
  <c r="H248" i="26" s="1"/>
  <c r="C205" i="26"/>
  <c r="K204" i="26"/>
  <c r="L204" i="26" s="1"/>
  <c r="N204" i="26" s="1"/>
  <c r="P204" i="26" s="1"/>
  <c r="D204" i="26"/>
  <c r="F204" i="26" s="1"/>
  <c r="H204" i="26" s="1"/>
  <c r="C183" i="26"/>
  <c r="K182" i="26"/>
  <c r="L182" i="26" s="1"/>
  <c r="N182" i="26" s="1"/>
  <c r="P182" i="26" s="1"/>
  <c r="D182" i="26"/>
  <c r="F182" i="26" s="1"/>
  <c r="H182" i="26" s="1"/>
  <c r="C238" i="26"/>
  <c r="K237" i="26"/>
  <c r="L237" i="26" s="1"/>
  <c r="N237" i="26" s="1"/>
  <c r="P237" i="26" s="1"/>
  <c r="D237" i="26"/>
  <c r="F237" i="26" s="1"/>
  <c r="H237" i="26" s="1"/>
  <c r="K281" i="26"/>
  <c r="L281" i="26" s="1"/>
  <c r="N281" i="26" s="1"/>
  <c r="P281" i="26" s="1"/>
  <c r="D281" i="26"/>
  <c r="F281" i="26" s="1"/>
  <c r="H281" i="26" s="1"/>
  <c r="C282" i="26"/>
  <c r="K160" i="26"/>
  <c r="L160" i="26" s="1"/>
  <c r="N160" i="26" s="1"/>
  <c r="P160" i="26" s="1"/>
  <c r="D160" i="26"/>
  <c r="F160" i="26" s="1"/>
  <c r="H160" i="26" s="1"/>
  <c r="C271" i="26"/>
  <c r="K270" i="26"/>
  <c r="L270" i="26" s="1"/>
  <c r="N270" i="26" s="1"/>
  <c r="P270" i="26" s="1"/>
  <c r="D270" i="26"/>
  <c r="F270" i="26" s="1"/>
  <c r="H270" i="26" s="1"/>
  <c r="C260" i="26"/>
  <c r="K259" i="26"/>
  <c r="L259" i="26" s="1"/>
  <c r="N259" i="26" s="1"/>
  <c r="P259" i="26" s="1"/>
  <c r="D259" i="26"/>
  <c r="F259" i="26" s="1"/>
  <c r="H259" i="26" s="1"/>
  <c r="C216" i="26"/>
  <c r="K215" i="26"/>
  <c r="L215" i="26" s="1"/>
  <c r="N215" i="26" s="1"/>
  <c r="P215" i="26" s="1"/>
  <c r="D215" i="26"/>
  <c r="F215" i="26" s="1"/>
  <c r="H215" i="26" s="1"/>
  <c r="C194" i="26"/>
  <c r="K193" i="26"/>
  <c r="L193" i="26" s="1"/>
  <c r="N193" i="26" s="1"/>
  <c r="P193" i="26" s="1"/>
  <c r="D193" i="26"/>
  <c r="F193" i="26" s="1"/>
  <c r="H193" i="26" s="1"/>
  <c r="AE37" i="9"/>
  <c r="U37" i="9"/>
  <c r="AG37" i="9"/>
  <c r="A38" i="9"/>
  <c r="C272" i="26" l="1"/>
  <c r="K271" i="26"/>
  <c r="L271" i="26" s="1"/>
  <c r="N271" i="26" s="1"/>
  <c r="P271" i="26" s="1"/>
  <c r="D271" i="26"/>
  <c r="F271" i="26" s="1"/>
  <c r="H271" i="26" s="1"/>
  <c r="C239" i="26"/>
  <c r="K238" i="26"/>
  <c r="L238" i="26" s="1"/>
  <c r="N238" i="26" s="1"/>
  <c r="P238" i="26" s="1"/>
  <c r="D238" i="26"/>
  <c r="F238" i="26" s="1"/>
  <c r="H238" i="26" s="1"/>
  <c r="K172" i="26"/>
  <c r="L172" i="26" s="1"/>
  <c r="N172" i="26" s="1"/>
  <c r="P172" i="26" s="1"/>
  <c r="D172" i="26"/>
  <c r="F172" i="26" s="1"/>
  <c r="H172" i="26" s="1"/>
  <c r="C261" i="26"/>
  <c r="K260" i="26"/>
  <c r="L260" i="26" s="1"/>
  <c r="N260" i="26" s="1"/>
  <c r="P260" i="26" s="1"/>
  <c r="D260" i="26"/>
  <c r="F260" i="26" s="1"/>
  <c r="H260" i="26" s="1"/>
  <c r="C250" i="26"/>
  <c r="K249" i="26"/>
  <c r="L249" i="26" s="1"/>
  <c r="N249" i="26" s="1"/>
  <c r="P249" i="26" s="1"/>
  <c r="D249" i="26"/>
  <c r="F249" i="26" s="1"/>
  <c r="H249" i="26" s="1"/>
  <c r="C217" i="26"/>
  <c r="K216" i="26"/>
  <c r="L216" i="26" s="1"/>
  <c r="N216" i="26" s="1"/>
  <c r="P216" i="26" s="1"/>
  <c r="D216" i="26"/>
  <c r="F216" i="26" s="1"/>
  <c r="H216" i="26" s="1"/>
  <c r="C206" i="26"/>
  <c r="K205" i="26"/>
  <c r="L205" i="26" s="1"/>
  <c r="N205" i="26" s="1"/>
  <c r="P205" i="26" s="1"/>
  <c r="D205" i="26"/>
  <c r="F205" i="26" s="1"/>
  <c r="H205" i="26" s="1"/>
  <c r="C195" i="26"/>
  <c r="K194" i="26"/>
  <c r="L194" i="26" s="1"/>
  <c r="N194" i="26" s="1"/>
  <c r="P194" i="26" s="1"/>
  <c r="D194" i="26"/>
  <c r="F194" i="26" s="1"/>
  <c r="H194" i="26" s="1"/>
  <c r="C283" i="26"/>
  <c r="K282" i="26"/>
  <c r="L282" i="26" s="1"/>
  <c r="N282" i="26" s="1"/>
  <c r="P282" i="26" s="1"/>
  <c r="D282" i="26"/>
  <c r="F282" i="26" s="1"/>
  <c r="H282" i="26" s="1"/>
  <c r="C184" i="26"/>
  <c r="K183" i="26"/>
  <c r="L183" i="26" s="1"/>
  <c r="N183" i="26" s="1"/>
  <c r="P183" i="26" s="1"/>
  <c r="D183" i="26"/>
  <c r="F183" i="26" s="1"/>
  <c r="H183" i="26" s="1"/>
  <c r="C228" i="26"/>
  <c r="K227" i="26"/>
  <c r="L227" i="26" s="1"/>
  <c r="N227" i="26" s="1"/>
  <c r="P227" i="26" s="1"/>
  <c r="D227" i="26"/>
  <c r="F227" i="26" s="1"/>
  <c r="H227" i="26" s="1"/>
  <c r="AE38" i="9"/>
  <c r="U38" i="9"/>
  <c r="AG38" i="9"/>
  <c r="A39" i="9"/>
  <c r="C229" i="26" l="1"/>
  <c r="K228" i="26"/>
  <c r="L228" i="26" s="1"/>
  <c r="N228" i="26" s="1"/>
  <c r="P228" i="26" s="1"/>
  <c r="D228" i="26"/>
  <c r="F228" i="26" s="1"/>
  <c r="H228" i="26" s="1"/>
  <c r="C196" i="26"/>
  <c r="K195" i="26"/>
  <c r="L195" i="26" s="1"/>
  <c r="N195" i="26" s="1"/>
  <c r="P195" i="26" s="1"/>
  <c r="D195" i="26"/>
  <c r="F195" i="26" s="1"/>
  <c r="H195" i="26" s="1"/>
  <c r="C284" i="26"/>
  <c r="K283" i="26"/>
  <c r="L283" i="26" s="1"/>
  <c r="N283" i="26" s="1"/>
  <c r="P283" i="26" s="1"/>
  <c r="D283" i="26"/>
  <c r="F283" i="26" s="1"/>
  <c r="H283" i="26" s="1"/>
  <c r="C251" i="26"/>
  <c r="K250" i="26"/>
  <c r="L250" i="26" s="1"/>
  <c r="N250" i="26" s="1"/>
  <c r="P250" i="26" s="1"/>
  <c r="D250" i="26"/>
  <c r="F250" i="26" s="1"/>
  <c r="H250" i="26" s="1"/>
  <c r="C240" i="26"/>
  <c r="K239" i="26"/>
  <c r="L239" i="26" s="1"/>
  <c r="N239" i="26" s="1"/>
  <c r="P239" i="26" s="1"/>
  <c r="D239" i="26"/>
  <c r="F239" i="26" s="1"/>
  <c r="H239" i="26" s="1"/>
  <c r="C218" i="26"/>
  <c r="K217" i="26"/>
  <c r="L217" i="26" s="1"/>
  <c r="N217" i="26" s="1"/>
  <c r="P217" i="26" s="1"/>
  <c r="D217" i="26"/>
  <c r="F217" i="26" s="1"/>
  <c r="H217" i="26" s="1"/>
  <c r="K184" i="26"/>
  <c r="L184" i="26" s="1"/>
  <c r="N184" i="26" s="1"/>
  <c r="P184" i="26" s="1"/>
  <c r="D184" i="26"/>
  <c r="F184" i="26" s="1"/>
  <c r="H184" i="26" s="1"/>
  <c r="C207" i="26"/>
  <c r="K206" i="26"/>
  <c r="L206" i="26" s="1"/>
  <c r="N206" i="26" s="1"/>
  <c r="P206" i="26" s="1"/>
  <c r="D206" i="26"/>
  <c r="F206" i="26" s="1"/>
  <c r="H206" i="26" s="1"/>
  <c r="C262" i="26"/>
  <c r="K261" i="26"/>
  <c r="L261" i="26" s="1"/>
  <c r="N261" i="26" s="1"/>
  <c r="P261" i="26" s="1"/>
  <c r="D261" i="26"/>
  <c r="F261" i="26" s="1"/>
  <c r="H261" i="26" s="1"/>
  <c r="C273" i="26"/>
  <c r="K272" i="26"/>
  <c r="L272" i="26" s="1"/>
  <c r="N272" i="26" s="1"/>
  <c r="P272" i="26" s="1"/>
  <c r="D272" i="26"/>
  <c r="F272" i="26" s="1"/>
  <c r="H272" i="26" s="1"/>
  <c r="AE39" i="9"/>
  <c r="U39" i="9"/>
  <c r="AG39" i="9"/>
  <c r="A40" i="9"/>
  <c r="C208" i="26" l="1"/>
  <c r="K207" i="26"/>
  <c r="L207" i="26" s="1"/>
  <c r="N207" i="26" s="1"/>
  <c r="P207" i="26" s="1"/>
  <c r="D207" i="26"/>
  <c r="F207" i="26" s="1"/>
  <c r="H207" i="26" s="1"/>
  <c r="C263" i="26"/>
  <c r="K262" i="26"/>
  <c r="L262" i="26" s="1"/>
  <c r="N262" i="26" s="1"/>
  <c r="P262" i="26" s="1"/>
  <c r="D262" i="26"/>
  <c r="F262" i="26" s="1"/>
  <c r="H262" i="26" s="1"/>
  <c r="C219" i="26"/>
  <c r="K218" i="26"/>
  <c r="L218" i="26" s="1"/>
  <c r="N218" i="26" s="1"/>
  <c r="P218" i="26" s="1"/>
  <c r="D218" i="26"/>
  <c r="F218" i="26" s="1"/>
  <c r="H218" i="26" s="1"/>
  <c r="K196" i="26"/>
  <c r="L196" i="26" s="1"/>
  <c r="N196" i="26" s="1"/>
  <c r="P196" i="26" s="1"/>
  <c r="D196" i="26"/>
  <c r="F196" i="26" s="1"/>
  <c r="H196" i="26" s="1"/>
  <c r="C285" i="26"/>
  <c r="K284" i="26"/>
  <c r="L284" i="26" s="1"/>
  <c r="N284" i="26" s="1"/>
  <c r="P284" i="26" s="1"/>
  <c r="D284" i="26"/>
  <c r="F284" i="26" s="1"/>
  <c r="H284" i="26" s="1"/>
  <c r="C252" i="26"/>
  <c r="K251" i="26"/>
  <c r="L251" i="26" s="1"/>
  <c r="N251" i="26" s="1"/>
  <c r="P251" i="26" s="1"/>
  <c r="D251" i="26"/>
  <c r="F251" i="26" s="1"/>
  <c r="H251" i="26" s="1"/>
  <c r="C274" i="26"/>
  <c r="K273" i="26"/>
  <c r="L273" i="26" s="1"/>
  <c r="N273" i="26" s="1"/>
  <c r="P273" i="26" s="1"/>
  <c r="D273" i="26"/>
  <c r="F273" i="26" s="1"/>
  <c r="H273" i="26" s="1"/>
  <c r="C241" i="26"/>
  <c r="K240" i="26"/>
  <c r="L240" i="26" s="1"/>
  <c r="N240" i="26" s="1"/>
  <c r="P240" i="26" s="1"/>
  <c r="D240" i="26"/>
  <c r="F240" i="26" s="1"/>
  <c r="H240" i="26" s="1"/>
  <c r="C230" i="26"/>
  <c r="K229" i="26"/>
  <c r="L229" i="26" s="1"/>
  <c r="N229" i="26" s="1"/>
  <c r="P229" i="26" s="1"/>
  <c r="D229" i="26"/>
  <c r="F229" i="26" s="1"/>
  <c r="H229" i="26" s="1"/>
  <c r="AE40" i="9"/>
  <c r="U40" i="9"/>
  <c r="AG40" i="9"/>
  <c r="A41" i="9"/>
  <c r="C231" i="26" l="1"/>
  <c r="K230" i="26"/>
  <c r="L230" i="26" s="1"/>
  <c r="N230" i="26" s="1"/>
  <c r="P230" i="26" s="1"/>
  <c r="D230" i="26"/>
  <c r="F230" i="26" s="1"/>
  <c r="H230" i="26" s="1"/>
  <c r="C286" i="26"/>
  <c r="K285" i="26"/>
  <c r="L285" i="26" s="1"/>
  <c r="N285" i="26" s="1"/>
  <c r="P285" i="26" s="1"/>
  <c r="D285" i="26"/>
  <c r="F285" i="26" s="1"/>
  <c r="H285" i="26" s="1"/>
  <c r="C264" i="26"/>
  <c r="K263" i="26"/>
  <c r="L263" i="26" s="1"/>
  <c r="N263" i="26" s="1"/>
  <c r="P263" i="26" s="1"/>
  <c r="D263" i="26"/>
  <c r="F263" i="26" s="1"/>
  <c r="H263" i="26" s="1"/>
  <c r="C253" i="26"/>
  <c r="K252" i="26"/>
  <c r="L252" i="26" s="1"/>
  <c r="N252" i="26" s="1"/>
  <c r="P252" i="26" s="1"/>
  <c r="D252" i="26"/>
  <c r="F252" i="26" s="1"/>
  <c r="H252" i="26" s="1"/>
  <c r="C220" i="26"/>
  <c r="K219" i="26"/>
  <c r="L219" i="26" s="1"/>
  <c r="N219" i="26" s="1"/>
  <c r="P219" i="26" s="1"/>
  <c r="D219" i="26"/>
  <c r="F219" i="26" s="1"/>
  <c r="H219" i="26" s="1"/>
  <c r="C275" i="26"/>
  <c r="K274" i="26"/>
  <c r="L274" i="26" s="1"/>
  <c r="N274" i="26" s="1"/>
  <c r="P274" i="26" s="1"/>
  <c r="D274" i="26"/>
  <c r="F274" i="26" s="1"/>
  <c r="H274" i="26" s="1"/>
  <c r="C242" i="26"/>
  <c r="K241" i="26"/>
  <c r="L241" i="26" s="1"/>
  <c r="N241" i="26" s="1"/>
  <c r="P241" i="26" s="1"/>
  <c r="D241" i="26"/>
  <c r="F241" i="26" s="1"/>
  <c r="H241" i="26" s="1"/>
  <c r="K208" i="26"/>
  <c r="L208" i="26" s="1"/>
  <c r="N208" i="26" s="1"/>
  <c r="P208" i="26" s="1"/>
  <c r="D208" i="26"/>
  <c r="F208" i="26" s="1"/>
  <c r="H208" i="26" s="1"/>
  <c r="AE41" i="9"/>
  <c r="U41" i="9"/>
  <c r="AG41" i="9"/>
  <c r="A42" i="9"/>
  <c r="C276" i="26" l="1"/>
  <c r="K275" i="26"/>
  <c r="L275" i="26" s="1"/>
  <c r="N275" i="26" s="1"/>
  <c r="P275" i="26" s="1"/>
  <c r="D275" i="26"/>
  <c r="F275" i="26" s="1"/>
  <c r="H275" i="26" s="1"/>
  <c r="C287" i="26"/>
  <c r="K286" i="26"/>
  <c r="L286" i="26" s="1"/>
  <c r="N286" i="26" s="1"/>
  <c r="P286" i="26" s="1"/>
  <c r="D286" i="26"/>
  <c r="F286" i="26" s="1"/>
  <c r="H286" i="26" s="1"/>
  <c r="C243" i="26"/>
  <c r="K242" i="26"/>
  <c r="L242" i="26" s="1"/>
  <c r="N242" i="26" s="1"/>
  <c r="P242" i="26" s="1"/>
  <c r="D242" i="26"/>
  <c r="F242" i="26" s="1"/>
  <c r="H242" i="26" s="1"/>
  <c r="C265" i="26"/>
  <c r="K264" i="26"/>
  <c r="L264" i="26" s="1"/>
  <c r="N264" i="26" s="1"/>
  <c r="P264" i="26" s="1"/>
  <c r="D264" i="26"/>
  <c r="F264" i="26" s="1"/>
  <c r="H264" i="26" s="1"/>
  <c r="C254" i="26"/>
  <c r="K253" i="26"/>
  <c r="L253" i="26" s="1"/>
  <c r="N253" i="26" s="1"/>
  <c r="P253" i="26" s="1"/>
  <c r="D253" i="26"/>
  <c r="F253" i="26" s="1"/>
  <c r="H253" i="26" s="1"/>
  <c r="K220" i="26"/>
  <c r="L220" i="26" s="1"/>
  <c r="N220" i="26" s="1"/>
  <c r="P220" i="26" s="1"/>
  <c r="D220" i="26"/>
  <c r="F220" i="26" s="1"/>
  <c r="H220" i="26" s="1"/>
  <c r="C232" i="26"/>
  <c r="K231" i="26"/>
  <c r="L231" i="26" s="1"/>
  <c r="N231" i="26" s="1"/>
  <c r="P231" i="26" s="1"/>
  <c r="D231" i="26"/>
  <c r="F231" i="26" s="1"/>
  <c r="H231" i="26" s="1"/>
  <c r="AE42" i="9"/>
  <c r="U42" i="9"/>
  <c r="AG42" i="9"/>
  <c r="A43" i="9"/>
  <c r="C255" i="26" l="1"/>
  <c r="K254" i="26"/>
  <c r="L254" i="26" s="1"/>
  <c r="N254" i="26" s="1"/>
  <c r="P254" i="26" s="1"/>
  <c r="D254" i="26"/>
  <c r="F254" i="26" s="1"/>
  <c r="H254" i="26" s="1"/>
  <c r="C288" i="26"/>
  <c r="K287" i="26"/>
  <c r="L287" i="26" s="1"/>
  <c r="N287" i="26" s="1"/>
  <c r="P287" i="26" s="1"/>
  <c r="D287" i="26"/>
  <c r="F287" i="26" s="1"/>
  <c r="H287" i="26" s="1"/>
  <c r="C244" i="26"/>
  <c r="K243" i="26"/>
  <c r="L243" i="26" s="1"/>
  <c r="N243" i="26" s="1"/>
  <c r="P243" i="26" s="1"/>
  <c r="D243" i="26"/>
  <c r="F243" i="26" s="1"/>
  <c r="H243" i="26" s="1"/>
  <c r="K232" i="26"/>
  <c r="L232" i="26" s="1"/>
  <c r="N232" i="26" s="1"/>
  <c r="P232" i="26" s="1"/>
  <c r="D232" i="26"/>
  <c r="F232" i="26" s="1"/>
  <c r="H232" i="26" s="1"/>
  <c r="C266" i="26"/>
  <c r="K265" i="26"/>
  <c r="L265" i="26" s="1"/>
  <c r="N265" i="26" s="1"/>
  <c r="P265" i="26" s="1"/>
  <c r="D265" i="26"/>
  <c r="F265" i="26" s="1"/>
  <c r="H265" i="26" s="1"/>
  <c r="C277" i="26"/>
  <c r="K276" i="26"/>
  <c r="L276" i="26" s="1"/>
  <c r="N276" i="26" s="1"/>
  <c r="P276" i="26" s="1"/>
  <c r="D276" i="26"/>
  <c r="F276" i="26" s="1"/>
  <c r="H276" i="26" s="1"/>
  <c r="AE43" i="9"/>
  <c r="U43" i="9"/>
  <c r="AG43" i="9"/>
  <c r="A44" i="9"/>
  <c r="C278" i="26" l="1"/>
  <c r="K277" i="26"/>
  <c r="L277" i="26" s="1"/>
  <c r="N277" i="26" s="1"/>
  <c r="P277" i="26" s="1"/>
  <c r="D277" i="26"/>
  <c r="F277" i="26" s="1"/>
  <c r="H277" i="26" s="1"/>
  <c r="C256" i="26"/>
  <c r="K255" i="26"/>
  <c r="L255" i="26" s="1"/>
  <c r="N255" i="26" s="1"/>
  <c r="P255" i="26" s="1"/>
  <c r="D255" i="26"/>
  <c r="F255" i="26" s="1"/>
  <c r="H255" i="26" s="1"/>
  <c r="C267" i="26"/>
  <c r="K266" i="26"/>
  <c r="L266" i="26" s="1"/>
  <c r="N266" i="26" s="1"/>
  <c r="P266" i="26" s="1"/>
  <c r="D266" i="26"/>
  <c r="F266" i="26" s="1"/>
  <c r="H266" i="26" s="1"/>
  <c r="C289" i="26"/>
  <c r="K288" i="26"/>
  <c r="L288" i="26" s="1"/>
  <c r="N288" i="26" s="1"/>
  <c r="P288" i="26" s="1"/>
  <c r="D288" i="26"/>
  <c r="F288" i="26" s="1"/>
  <c r="H288" i="26" s="1"/>
  <c r="K244" i="26"/>
  <c r="L244" i="26" s="1"/>
  <c r="N244" i="26" s="1"/>
  <c r="P244" i="26" s="1"/>
  <c r="D244" i="26"/>
  <c r="F244" i="26" s="1"/>
  <c r="H244" i="26" s="1"/>
  <c r="AE44" i="9"/>
  <c r="U44" i="9"/>
  <c r="AG44" i="9"/>
  <c r="A45" i="9"/>
  <c r="K256" i="26" l="1"/>
  <c r="L256" i="26" s="1"/>
  <c r="N256" i="26" s="1"/>
  <c r="P256" i="26" s="1"/>
  <c r="D256" i="26"/>
  <c r="F256" i="26" s="1"/>
  <c r="H256" i="26" s="1"/>
  <c r="C268" i="26"/>
  <c r="K267" i="26"/>
  <c r="L267" i="26" s="1"/>
  <c r="N267" i="26" s="1"/>
  <c r="P267" i="26" s="1"/>
  <c r="D267" i="26"/>
  <c r="F267" i="26" s="1"/>
  <c r="H267" i="26" s="1"/>
  <c r="C290" i="26"/>
  <c r="K289" i="26"/>
  <c r="L289" i="26" s="1"/>
  <c r="N289" i="26" s="1"/>
  <c r="P289" i="26" s="1"/>
  <c r="D289" i="26"/>
  <c r="F289" i="26" s="1"/>
  <c r="H289" i="26" s="1"/>
  <c r="C279" i="26"/>
  <c r="K278" i="26"/>
  <c r="L278" i="26" s="1"/>
  <c r="N278" i="26" s="1"/>
  <c r="P278" i="26" s="1"/>
  <c r="D278" i="26"/>
  <c r="F278" i="26" s="1"/>
  <c r="H278" i="26" s="1"/>
  <c r="AE45" i="9"/>
  <c r="U45" i="9"/>
  <c r="AG45" i="9"/>
  <c r="A46" i="9"/>
  <c r="C280" i="26" l="1"/>
  <c r="K279" i="26"/>
  <c r="L279" i="26" s="1"/>
  <c r="N279" i="26" s="1"/>
  <c r="P279" i="26" s="1"/>
  <c r="D279" i="26"/>
  <c r="F279" i="26" s="1"/>
  <c r="H279" i="26" s="1"/>
  <c r="K268" i="26"/>
  <c r="L268" i="26" s="1"/>
  <c r="N268" i="26" s="1"/>
  <c r="P268" i="26" s="1"/>
  <c r="D268" i="26"/>
  <c r="F268" i="26" s="1"/>
  <c r="H268" i="26" s="1"/>
  <c r="C291" i="26"/>
  <c r="K290" i="26"/>
  <c r="L290" i="26" s="1"/>
  <c r="N290" i="26" s="1"/>
  <c r="P290" i="26" s="1"/>
  <c r="D290" i="26"/>
  <c r="F290" i="26" s="1"/>
  <c r="H290" i="26" s="1"/>
  <c r="AE46" i="9"/>
  <c r="U46" i="9"/>
  <c r="AG46" i="9"/>
  <c r="A47" i="9"/>
  <c r="C292" i="26" l="1"/>
  <c r="K291" i="26"/>
  <c r="L291" i="26" s="1"/>
  <c r="N291" i="26" s="1"/>
  <c r="P291" i="26" s="1"/>
  <c r="D291" i="26"/>
  <c r="F291" i="26" s="1"/>
  <c r="H291" i="26" s="1"/>
  <c r="K280" i="26"/>
  <c r="L280" i="26" s="1"/>
  <c r="N280" i="26" s="1"/>
  <c r="P280" i="26" s="1"/>
  <c r="D280" i="26"/>
  <c r="F280" i="26" s="1"/>
  <c r="H280" i="26" s="1"/>
  <c r="AE47" i="9"/>
  <c r="U47" i="9"/>
  <c r="AG47" i="9"/>
  <c r="A48" i="9"/>
  <c r="K292" i="26" l="1"/>
  <c r="L292" i="26" s="1"/>
  <c r="D292" i="26"/>
  <c r="AE48" i="9"/>
  <c r="U48" i="9"/>
  <c r="AG48" i="9"/>
  <c r="A49" i="9"/>
  <c r="N292" i="26" l="1"/>
  <c r="L297" i="26"/>
  <c r="L296" i="26"/>
  <c r="F292" i="26"/>
  <c r="D297" i="26"/>
  <c r="D296" i="26"/>
  <c r="AE49" i="9"/>
  <c r="U49" i="9"/>
  <c r="AG49" i="9"/>
  <c r="A50" i="9"/>
  <c r="H292" i="26" l="1"/>
  <c r="F297" i="26"/>
  <c r="F296" i="26"/>
  <c r="P292" i="26"/>
  <c r="N297" i="26"/>
  <c r="N296" i="26"/>
  <c r="AE50" i="9"/>
  <c r="U50" i="9"/>
  <c r="AG50" i="9"/>
  <c r="A51" i="9"/>
  <c r="P296" i="26" l="1"/>
  <c r="P297" i="26"/>
  <c r="H297" i="26"/>
  <c r="H296" i="26"/>
  <c r="AE51" i="9"/>
  <c r="U51" i="9"/>
  <c r="AG51" i="9"/>
  <c r="A52" i="9"/>
  <c r="AE52" i="9" l="1"/>
  <c r="U52" i="9"/>
  <c r="AG52" i="9"/>
  <c r="A53" i="9"/>
  <c r="AE53" i="9" l="1"/>
  <c r="U53" i="9"/>
  <c r="AG53" i="9"/>
  <c r="C402" i="21" l="1"/>
  <c r="D402" i="21" s="1"/>
  <c r="E402" i="21" s="1"/>
  <c r="F402" i="21" s="1"/>
  <c r="G402" i="21" s="1"/>
  <c r="H402" i="21" s="1"/>
  <c r="I402" i="21" s="1"/>
  <c r="J402" i="21" s="1"/>
  <c r="K402" i="21" s="1"/>
  <c r="L402" i="21" s="1"/>
  <c r="M402" i="21" s="1"/>
  <c r="N402" i="21" s="1"/>
  <c r="B402" i="21"/>
  <c r="J357" i="21"/>
  <c r="J358" i="21" s="1"/>
  <c r="J359" i="21" s="1"/>
  <c r="J360" i="21" s="1"/>
  <c r="J361" i="21" s="1"/>
  <c r="J362" i="21" s="1"/>
  <c r="J363" i="21" s="1"/>
  <c r="J364" i="21" s="1"/>
  <c r="J365" i="21" s="1"/>
  <c r="J366" i="21" s="1"/>
  <c r="J367" i="21" s="1"/>
  <c r="J368" i="21" s="1"/>
  <c r="J369" i="21" s="1"/>
  <c r="J370" i="21" s="1"/>
  <c r="J371" i="21" s="1"/>
  <c r="J372" i="21" s="1"/>
  <c r="J373" i="21" s="1"/>
  <c r="J374" i="21" s="1"/>
  <c r="I357" i="21"/>
  <c r="I358" i="21" s="1"/>
  <c r="I359" i="21" s="1"/>
  <c r="I360" i="21" s="1"/>
  <c r="I361" i="21" s="1"/>
  <c r="I362" i="21" s="1"/>
  <c r="I363" i="21" s="1"/>
  <c r="I364" i="21" s="1"/>
  <c r="I365" i="21" s="1"/>
  <c r="I366" i="21" s="1"/>
  <c r="I367" i="21" s="1"/>
  <c r="I368" i="21" s="1"/>
  <c r="I369" i="21" s="1"/>
  <c r="I370" i="21" s="1"/>
  <c r="I371" i="21" s="1"/>
  <c r="I372" i="21" s="1"/>
  <c r="I373" i="21" s="1"/>
  <c r="I374" i="21" s="1"/>
  <c r="H357" i="21"/>
  <c r="H358" i="21" s="1"/>
  <c r="H359" i="21" s="1"/>
  <c r="H360" i="21" s="1"/>
  <c r="H361" i="21" s="1"/>
  <c r="H362" i="21" s="1"/>
  <c r="H363" i="21" s="1"/>
  <c r="H364" i="21" s="1"/>
  <c r="H365" i="21" s="1"/>
  <c r="H366" i="21" s="1"/>
  <c r="H367" i="21" s="1"/>
  <c r="H368" i="21" s="1"/>
  <c r="H369" i="21" s="1"/>
  <c r="H370" i="21" s="1"/>
  <c r="H371" i="21" s="1"/>
  <c r="H372" i="21" s="1"/>
  <c r="H373" i="21" s="1"/>
  <c r="H374" i="21" s="1"/>
  <c r="D357" i="21"/>
  <c r="D358" i="21" s="1"/>
  <c r="D359" i="21" s="1"/>
  <c r="D360" i="21" s="1"/>
  <c r="D361" i="21" s="1"/>
  <c r="D362" i="21" s="1"/>
  <c r="D363" i="21" s="1"/>
  <c r="D364" i="21" s="1"/>
  <c r="D365" i="21" s="1"/>
  <c r="D366" i="21" s="1"/>
  <c r="D367" i="21" s="1"/>
  <c r="D368" i="21" s="1"/>
  <c r="D369" i="21" s="1"/>
  <c r="D370" i="21" s="1"/>
  <c r="D371" i="21" s="1"/>
  <c r="D372" i="21" s="1"/>
  <c r="D373" i="21" s="1"/>
  <c r="D374" i="21" s="1"/>
  <c r="B357" i="21"/>
  <c r="C357" i="21" s="1"/>
  <c r="C356" i="21"/>
  <c r="C355" i="21"/>
  <c r="C354" i="21"/>
  <c r="C353" i="21"/>
  <c r="C352" i="21"/>
  <c r="C351" i="21"/>
  <c r="C350" i="21"/>
  <c r="C349" i="21"/>
  <c r="C348" i="21"/>
  <c r="A348" i="2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C347" i="21"/>
  <c r="A347" i="21"/>
  <c r="C346" i="21"/>
  <c r="J138" i="21"/>
  <c r="J150" i="21" s="1"/>
  <c r="J162" i="21" s="1"/>
  <c r="J174" i="21" s="1"/>
  <c r="J186" i="21" s="1"/>
  <c r="J198" i="21" s="1"/>
  <c r="J210" i="21" s="1"/>
  <c r="J222" i="21" s="1"/>
  <c r="J234" i="21" s="1"/>
  <c r="J246" i="21" s="1"/>
  <c r="J258" i="21" s="1"/>
  <c r="J270" i="21" s="1"/>
  <c r="J282" i="21" s="1"/>
  <c r="J294" i="21" s="1"/>
  <c r="J306" i="21" s="1"/>
  <c r="J318" i="21" s="1"/>
  <c r="J330" i="21" s="1"/>
  <c r="J342" i="21" s="1"/>
  <c r="I138" i="21"/>
  <c r="I150" i="21" s="1"/>
  <c r="I162" i="21" s="1"/>
  <c r="I174" i="21" s="1"/>
  <c r="I186" i="21" s="1"/>
  <c r="I198" i="21" s="1"/>
  <c r="I210" i="21" s="1"/>
  <c r="I222" i="21" s="1"/>
  <c r="I234" i="21" s="1"/>
  <c r="I246" i="21" s="1"/>
  <c r="I258" i="21" s="1"/>
  <c r="I270" i="21" s="1"/>
  <c r="I282" i="21" s="1"/>
  <c r="I294" i="21" s="1"/>
  <c r="I306" i="21" s="1"/>
  <c r="I318" i="21" s="1"/>
  <c r="I330" i="21" s="1"/>
  <c r="I342" i="21" s="1"/>
  <c r="H138" i="21"/>
  <c r="H150" i="21" s="1"/>
  <c r="H162" i="21" s="1"/>
  <c r="H174" i="21" s="1"/>
  <c r="H186" i="21" s="1"/>
  <c r="H198" i="21" s="1"/>
  <c r="H210" i="21" s="1"/>
  <c r="H222" i="21" s="1"/>
  <c r="H234" i="21" s="1"/>
  <c r="H246" i="21" s="1"/>
  <c r="H258" i="21" s="1"/>
  <c r="H270" i="21" s="1"/>
  <c r="H282" i="21" s="1"/>
  <c r="H294" i="21" s="1"/>
  <c r="H306" i="21" s="1"/>
  <c r="H318" i="21" s="1"/>
  <c r="H330" i="21" s="1"/>
  <c r="H342" i="21" s="1"/>
  <c r="D138" i="21"/>
  <c r="D150" i="21" s="1"/>
  <c r="B138" i="21"/>
  <c r="B150" i="21" s="1"/>
  <c r="B162" i="21" s="1"/>
  <c r="B174" i="21" s="1"/>
  <c r="B186" i="21" s="1"/>
  <c r="B198" i="21" s="1"/>
  <c r="B210" i="21" s="1"/>
  <c r="B222" i="21" s="1"/>
  <c r="B234" i="21" s="1"/>
  <c r="B246" i="21" s="1"/>
  <c r="B258" i="21" s="1"/>
  <c r="B270" i="21" s="1"/>
  <c r="B282" i="21" s="1"/>
  <c r="B294" i="21" s="1"/>
  <c r="B306" i="21" s="1"/>
  <c r="B318" i="21" s="1"/>
  <c r="B330" i="21" s="1"/>
  <c r="B342" i="21" s="1"/>
  <c r="J137" i="21"/>
  <c r="J149" i="21" s="1"/>
  <c r="J161" i="21" s="1"/>
  <c r="J173" i="21" s="1"/>
  <c r="J185" i="21" s="1"/>
  <c r="J197" i="21" s="1"/>
  <c r="J209" i="21" s="1"/>
  <c r="J221" i="21" s="1"/>
  <c r="J233" i="21" s="1"/>
  <c r="J245" i="21" s="1"/>
  <c r="J257" i="21" s="1"/>
  <c r="J269" i="21" s="1"/>
  <c r="J281" i="21" s="1"/>
  <c r="J293" i="21" s="1"/>
  <c r="J305" i="21" s="1"/>
  <c r="J317" i="21" s="1"/>
  <c r="J329" i="21" s="1"/>
  <c r="J341" i="21" s="1"/>
  <c r="I137" i="21"/>
  <c r="I149" i="21" s="1"/>
  <c r="I161" i="21" s="1"/>
  <c r="I173" i="21" s="1"/>
  <c r="I185" i="21" s="1"/>
  <c r="I197" i="21" s="1"/>
  <c r="I209" i="21" s="1"/>
  <c r="I221" i="21" s="1"/>
  <c r="I233" i="21" s="1"/>
  <c r="I245" i="21" s="1"/>
  <c r="I257" i="21" s="1"/>
  <c r="I269" i="21" s="1"/>
  <c r="I281" i="21" s="1"/>
  <c r="I293" i="21" s="1"/>
  <c r="I305" i="21" s="1"/>
  <c r="I317" i="21" s="1"/>
  <c r="I329" i="21" s="1"/>
  <c r="I341" i="21" s="1"/>
  <c r="H137" i="21"/>
  <c r="H149" i="21" s="1"/>
  <c r="H161" i="21" s="1"/>
  <c r="H173" i="21" s="1"/>
  <c r="H185" i="21" s="1"/>
  <c r="H197" i="21" s="1"/>
  <c r="H209" i="21" s="1"/>
  <c r="H221" i="21" s="1"/>
  <c r="H233" i="21" s="1"/>
  <c r="H245" i="21" s="1"/>
  <c r="H257" i="21" s="1"/>
  <c r="H269" i="21" s="1"/>
  <c r="H281" i="21" s="1"/>
  <c r="H293" i="21" s="1"/>
  <c r="H305" i="21" s="1"/>
  <c r="H317" i="21" s="1"/>
  <c r="H329" i="21" s="1"/>
  <c r="H341" i="21" s="1"/>
  <c r="D137" i="21"/>
  <c r="B137" i="21"/>
  <c r="B149" i="21" s="1"/>
  <c r="B161" i="21" s="1"/>
  <c r="B173" i="21" s="1"/>
  <c r="B185" i="21" s="1"/>
  <c r="B197" i="21" s="1"/>
  <c r="B209" i="21" s="1"/>
  <c r="B221" i="21" s="1"/>
  <c r="B233" i="21" s="1"/>
  <c r="B245" i="21" s="1"/>
  <c r="B257" i="21" s="1"/>
  <c r="B269" i="21" s="1"/>
  <c r="B281" i="21" s="1"/>
  <c r="B293" i="21" s="1"/>
  <c r="B305" i="21" s="1"/>
  <c r="B317" i="21" s="1"/>
  <c r="B329" i="21" s="1"/>
  <c r="B341" i="21" s="1"/>
  <c r="J136" i="21"/>
  <c r="J148" i="21" s="1"/>
  <c r="J160" i="21" s="1"/>
  <c r="J172" i="21" s="1"/>
  <c r="J184" i="21" s="1"/>
  <c r="J196" i="21" s="1"/>
  <c r="J208" i="21" s="1"/>
  <c r="J220" i="21" s="1"/>
  <c r="J232" i="21" s="1"/>
  <c r="J244" i="21" s="1"/>
  <c r="J256" i="21" s="1"/>
  <c r="J268" i="21" s="1"/>
  <c r="J280" i="21" s="1"/>
  <c r="J292" i="21" s="1"/>
  <c r="J304" i="21" s="1"/>
  <c r="J316" i="21" s="1"/>
  <c r="J328" i="21" s="1"/>
  <c r="J340" i="21" s="1"/>
  <c r="I136" i="21"/>
  <c r="I148" i="21" s="1"/>
  <c r="I160" i="21" s="1"/>
  <c r="I172" i="21" s="1"/>
  <c r="I184" i="21" s="1"/>
  <c r="I196" i="21" s="1"/>
  <c r="I208" i="21" s="1"/>
  <c r="I220" i="21" s="1"/>
  <c r="I232" i="21" s="1"/>
  <c r="I244" i="21" s="1"/>
  <c r="I256" i="21" s="1"/>
  <c r="I268" i="21" s="1"/>
  <c r="I280" i="21" s="1"/>
  <c r="I292" i="21" s="1"/>
  <c r="I304" i="21" s="1"/>
  <c r="I316" i="21" s="1"/>
  <c r="I328" i="21" s="1"/>
  <c r="I340" i="21" s="1"/>
  <c r="H136" i="21"/>
  <c r="H148" i="21" s="1"/>
  <c r="H160" i="21" s="1"/>
  <c r="H172" i="21" s="1"/>
  <c r="H184" i="21" s="1"/>
  <c r="H196" i="21" s="1"/>
  <c r="H208" i="21" s="1"/>
  <c r="H220" i="21" s="1"/>
  <c r="H232" i="21" s="1"/>
  <c r="H244" i="21" s="1"/>
  <c r="H256" i="21" s="1"/>
  <c r="H268" i="21" s="1"/>
  <c r="H280" i="21" s="1"/>
  <c r="H292" i="21" s="1"/>
  <c r="H304" i="21" s="1"/>
  <c r="H316" i="21" s="1"/>
  <c r="H328" i="21" s="1"/>
  <c r="H340" i="21" s="1"/>
  <c r="D136" i="21"/>
  <c r="D148" i="21" s="1"/>
  <c r="D160" i="21" s="1"/>
  <c r="D172" i="21" s="1"/>
  <c r="B136" i="21"/>
  <c r="B148" i="21" s="1"/>
  <c r="B160" i="21" s="1"/>
  <c r="B172" i="21" s="1"/>
  <c r="B184" i="21" s="1"/>
  <c r="B196" i="21" s="1"/>
  <c r="B208" i="21" s="1"/>
  <c r="B220" i="21" s="1"/>
  <c r="B232" i="21" s="1"/>
  <c r="B244" i="21" s="1"/>
  <c r="B256" i="21" s="1"/>
  <c r="B268" i="21" s="1"/>
  <c r="B280" i="21" s="1"/>
  <c r="B292" i="21" s="1"/>
  <c r="B304" i="21" s="1"/>
  <c r="B316" i="21" s="1"/>
  <c r="B328" i="21" s="1"/>
  <c r="B340" i="21" s="1"/>
  <c r="J135" i="21"/>
  <c r="J147" i="21" s="1"/>
  <c r="J159" i="21" s="1"/>
  <c r="J171" i="21" s="1"/>
  <c r="J183" i="21" s="1"/>
  <c r="J195" i="21" s="1"/>
  <c r="J207" i="21" s="1"/>
  <c r="J219" i="21" s="1"/>
  <c r="J231" i="21" s="1"/>
  <c r="J243" i="21" s="1"/>
  <c r="J255" i="21" s="1"/>
  <c r="J267" i="21" s="1"/>
  <c r="J279" i="21" s="1"/>
  <c r="J291" i="21" s="1"/>
  <c r="J303" i="21" s="1"/>
  <c r="J315" i="21" s="1"/>
  <c r="J327" i="21" s="1"/>
  <c r="J339" i="21" s="1"/>
  <c r="I135" i="21"/>
  <c r="I147" i="21" s="1"/>
  <c r="I159" i="21" s="1"/>
  <c r="I171" i="21" s="1"/>
  <c r="I183" i="21" s="1"/>
  <c r="I195" i="21" s="1"/>
  <c r="I207" i="21" s="1"/>
  <c r="I219" i="21" s="1"/>
  <c r="I231" i="21" s="1"/>
  <c r="I243" i="21" s="1"/>
  <c r="I255" i="21" s="1"/>
  <c r="I267" i="21" s="1"/>
  <c r="I279" i="21" s="1"/>
  <c r="I291" i="21" s="1"/>
  <c r="I303" i="21" s="1"/>
  <c r="I315" i="21" s="1"/>
  <c r="I327" i="21" s="1"/>
  <c r="I339" i="21" s="1"/>
  <c r="H135" i="21"/>
  <c r="H147" i="21" s="1"/>
  <c r="H159" i="21" s="1"/>
  <c r="H171" i="21" s="1"/>
  <c r="H183" i="21" s="1"/>
  <c r="H195" i="21" s="1"/>
  <c r="H207" i="21" s="1"/>
  <c r="H219" i="21" s="1"/>
  <c r="H231" i="21" s="1"/>
  <c r="H243" i="21" s="1"/>
  <c r="H255" i="21" s="1"/>
  <c r="H267" i="21" s="1"/>
  <c r="H279" i="21" s="1"/>
  <c r="H291" i="21" s="1"/>
  <c r="H303" i="21" s="1"/>
  <c r="H315" i="21" s="1"/>
  <c r="H327" i="21" s="1"/>
  <c r="H339" i="21" s="1"/>
  <c r="D135" i="21"/>
  <c r="D147" i="21" s="1"/>
  <c r="B135" i="21"/>
  <c r="J134" i="21"/>
  <c r="J146" i="21" s="1"/>
  <c r="J158" i="21" s="1"/>
  <c r="J170" i="21" s="1"/>
  <c r="J182" i="21" s="1"/>
  <c r="J194" i="21" s="1"/>
  <c r="J206" i="21" s="1"/>
  <c r="J218" i="21" s="1"/>
  <c r="J230" i="21" s="1"/>
  <c r="J242" i="21" s="1"/>
  <c r="J254" i="21" s="1"/>
  <c r="J266" i="21" s="1"/>
  <c r="J278" i="21" s="1"/>
  <c r="J290" i="21" s="1"/>
  <c r="J302" i="21" s="1"/>
  <c r="J314" i="21" s="1"/>
  <c r="J326" i="21" s="1"/>
  <c r="J338" i="21" s="1"/>
  <c r="I134" i="21"/>
  <c r="I146" i="21" s="1"/>
  <c r="I158" i="21" s="1"/>
  <c r="I170" i="21" s="1"/>
  <c r="I182" i="21" s="1"/>
  <c r="I194" i="21" s="1"/>
  <c r="I206" i="21" s="1"/>
  <c r="I218" i="21" s="1"/>
  <c r="I230" i="21" s="1"/>
  <c r="I242" i="21" s="1"/>
  <c r="I254" i="21" s="1"/>
  <c r="I266" i="21" s="1"/>
  <c r="I278" i="21" s="1"/>
  <c r="I290" i="21" s="1"/>
  <c r="I302" i="21" s="1"/>
  <c r="I314" i="21" s="1"/>
  <c r="I326" i="21" s="1"/>
  <c r="I338" i="21" s="1"/>
  <c r="H134" i="21"/>
  <c r="H146" i="21" s="1"/>
  <c r="H158" i="21" s="1"/>
  <c r="H170" i="21" s="1"/>
  <c r="H182" i="21" s="1"/>
  <c r="H194" i="21" s="1"/>
  <c r="H206" i="21" s="1"/>
  <c r="H218" i="21" s="1"/>
  <c r="H230" i="21" s="1"/>
  <c r="H242" i="21" s="1"/>
  <c r="H254" i="21" s="1"/>
  <c r="H266" i="21" s="1"/>
  <c r="H278" i="21" s="1"/>
  <c r="H290" i="21" s="1"/>
  <c r="H302" i="21" s="1"/>
  <c r="H314" i="21" s="1"/>
  <c r="H326" i="21" s="1"/>
  <c r="H338" i="21" s="1"/>
  <c r="D134" i="21"/>
  <c r="D146" i="21" s="1"/>
  <c r="B134" i="21"/>
  <c r="B146" i="21" s="1"/>
  <c r="B158" i="21" s="1"/>
  <c r="B170" i="21" s="1"/>
  <c r="B182" i="21" s="1"/>
  <c r="B194" i="21" s="1"/>
  <c r="B206" i="21" s="1"/>
  <c r="B218" i="21" s="1"/>
  <c r="B230" i="21" s="1"/>
  <c r="B242" i="21" s="1"/>
  <c r="B254" i="21" s="1"/>
  <c r="B266" i="21" s="1"/>
  <c r="B278" i="21" s="1"/>
  <c r="B290" i="21" s="1"/>
  <c r="B302" i="21" s="1"/>
  <c r="B314" i="21" s="1"/>
  <c r="B326" i="21" s="1"/>
  <c r="B338" i="21" s="1"/>
  <c r="J133" i="21"/>
  <c r="J145" i="21" s="1"/>
  <c r="J157" i="21" s="1"/>
  <c r="J169" i="21" s="1"/>
  <c r="J181" i="21" s="1"/>
  <c r="J193" i="21" s="1"/>
  <c r="J205" i="21" s="1"/>
  <c r="J217" i="21" s="1"/>
  <c r="J229" i="21" s="1"/>
  <c r="J241" i="21" s="1"/>
  <c r="J253" i="21" s="1"/>
  <c r="J265" i="21" s="1"/>
  <c r="J277" i="21" s="1"/>
  <c r="J289" i="21" s="1"/>
  <c r="J301" i="21" s="1"/>
  <c r="J313" i="21" s="1"/>
  <c r="J325" i="21" s="1"/>
  <c r="J337" i="21" s="1"/>
  <c r="I133" i="21"/>
  <c r="I145" i="21" s="1"/>
  <c r="I157" i="21" s="1"/>
  <c r="I169" i="21" s="1"/>
  <c r="I181" i="21" s="1"/>
  <c r="I193" i="21" s="1"/>
  <c r="I205" i="21" s="1"/>
  <c r="I217" i="21" s="1"/>
  <c r="I229" i="21" s="1"/>
  <c r="I241" i="21" s="1"/>
  <c r="I253" i="21" s="1"/>
  <c r="I265" i="21" s="1"/>
  <c r="I277" i="21" s="1"/>
  <c r="I289" i="21" s="1"/>
  <c r="I301" i="21" s="1"/>
  <c r="I313" i="21" s="1"/>
  <c r="I325" i="21" s="1"/>
  <c r="I337" i="21" s="1"/>
  <c r="H133" i="21"/>
  <c r="H145" i="21" s="1"/>
  <c r="H157" i="21" s="1"/>
  <c r="H169" i="21" s="1"/>
  <c r="H181" i="21" s="1"/>
  <c r="H193" i="21" s="1"/>
  <c r="H205" i="21" s="1"/>
  <c r="H217" i="21" s="1"/>
  <c r="H229" i="21" s="1"/>
  <c r="H241" i="21" s="1"/>
  <c r="H253" i="21" s="1"/>
  <c r="H265" i="21" s="1"/>
  <c r="H277" i="21" s="1"/>
  <c r="H289" i="21" s="1"/>
  <c r="H301" i="21" s="1"/>
  <c r="H313" i="21" s="1"/>
  <c r="H325" i="21" s="1"/>
  <c r="H337" i="21" s="1"/>
  <c r="D133" i="21"/>
  <c r="B133" i="21"/>
  <c r="B145" i="21" s="1"/>
  <c r="B157" i="21" s="1"/>
  <c r="B169" i="21" s="1"/>
  <c r="B181" i="21" s="1"/>
  <c r="B193" i="21" s="1"/>
  <c r="B205" i="21" s="1"/>
  <c r="B217" i="21" s="1"/>
  <c r="B229" i="21" s="1"/>
  <c r="B241" i="21" s="1"/>
  <c r="B253" i="21" s="1"/>
  <c r="B265" i="21" s="1"/>
  <c r="B277" i="21" s="1"/>
  <c r="B289" i="21" s="1"/>
  <c r="B301" i="21" s="1"/>
  <c r="B313" i="21" s="1"/>
  <c r="B325" i="21" s="1"/>
  <c r="B337" i="21" s="1"/>
  <c r="J132" i="21"/>
  <c r="J144" i="21" s="1"/>
  <c r="J156" i="21" s="1"/>
  <c r="J168" i="21" s="1"/>
  <c r="J180" i="21" s="1"/>
  <c r="J192" i="21" s="1"/>
  <c r="J204" i="21" s="1"/>
  <c r="J216" i="21" s="1"/>
  <c r="J228" i="21" s="1"/>
  <c r="J240" i="21" s="1"/>
  <c r="J252" i="21" s="1"/>
  <c r="J264" i="21" s="1"/>
  <c r="J276" i="21" s="1"/>
  <c r="J288" i="21" s="1"/>
  <c r="J300" i="21" s="1"/>
  <c r="J312" i="21" s="1"/>
  <c r="J324" i="21" s="1"/>
  <c r="J336" i="21" s="1"/>
  <c r="I132" i="21"/>
  <c r="I144" i="21" s="1"/>
  <c r="I156" i="21" s="1"/>
  <c r="I168" i="21" s="1"/>
  <c r="I180" i="21" s="1"/>
  <c r="I192" i="21" s="1"/>
  <c r="I204" i="21" s="1"/>
  <c r="I216" i="21" s="1"/>
  <c r="I228" i="21" s="1"/>
  <c r="I240" i="21" s="1"/>
  <c r="I252" i="21" s="1"/>
  <c r="I264" i="21" s="1"/>
  <c r="I276" i="21" s="1"/>
  <c r="I288" i="21" s="1"/>
  <c r="I300" i="21" s="1"/>
  <c r="I312" i="21" s="1"/>
  <c r="I324" i="21" s="1"/>
  <c r="I336" i="21" s="1"/>
  <c r="H132" i="21"/>
  <c r="H144" i="21" s="1"/>
  <c r="H156" i="21" s="1"/>
  <c r="H168" i="21" s="1"/>
  <c r="H180" i="21" s="1"/>
  <c r="H192" i="21" s="1"/>
  <c r="H204" i="21" s="1"/>
  <c r="H216" i="21" s="1"/>
  <c r="H228" i="21" s="1"/>
  <c r="H240" i="21" s="1"/>
  <c r="H252" i="21" s="1"/>
  <c r="H264" i="21" s="1"/>
  <c r="H276" i="21" s="1"/>
  <c r="H288" i="21" s="1"/>
  <c r="H300" i="21" s="1"/>
  <c r="H312" i="21" s="1"/>
  <c r="H324" i="21" s="1"/>
  <c r="H336" i="21" s="1"/>
  <c r="D132" i="21"/>
  <c r="D144" i="21" s="1"/>
  <c r="D156" i="21" s="1"/>
  <c r="D168" i="21" s="1"/>
  <c r="B132" i="21"/>
  <c r="B144" i="21" s="1"/>
  <c r="B156" i="21" s="1"/>
  <c r="B168" i="21" s="1"/>
  <c r="B180" i="21" s="1"/>
  <c r="B192" i="21" s="1"/>
  <c r="B204" i="21" s="1"/>
  <c r="B216" i="21" s="1"/>
  <c r="B228" i="21" s="1"/>
  <c r="B240" i="21" s="1"/>
  <c r="B252" i="21" s="1"/>
  <c r="B264" i="21" s="1"/>
  <c r="B276" i="21" s="1"/>
  <c r="B288" i="21" s="1"/>
  <c r="B300" i="21" s="1"/>
  <c r="B312" i="21" s="1"/>
  <c r="B324" i="21" s="1"/>
  <c r="B336" i="21" s="1"/>
  <c r="J131" i="21"/>
  <c r="J143" i="21" s="1"/>
  <c r="J155" i="21" s="1"/>
  <c r="J167" i="21" s="1"/>
  <c r="J179" i="21" s="1"/>
  <c r="J191" i="21" s="1"/>
  <c r="J203" i="21" s="1"/>
  <c r="J215" i="21" s="1"/>
  <c r="J227" i="21" s="1"/>
  <c r="J239" i="21" s="1"/>
  <c r="J251" i="21" s="1"/>
  <c r="J263" i="21" s="1"/>
  <c r="J275" i="21" s="1"/>
  <c r="J287" i="21" s="1"/>
  <c r="J299" i="21" s="1"/>
  <c r="J311" i="21" s="1"/>
  <c r="J323" i="21" s="1"/>
  <c r="J335" i="21" s="1"/>
  <c r="I131" i="21"/>
  <c r="I143" i="21" s="1"/>
  <c r="I155" i="21" s="1"/>
  <c r="I167" i="21" s="1"/>
  <c r="I179" i="21" s="1"/>
  <c r="I191" i="21" s="1"/>
  <c r="I203" i="21" s="1"/>
  <c r="I215" i="21" s="1"/>
  <c r="I227" i="21" s="1"/>
  <c r="I239" i="21" s="1"/>
  <c r="I251" i="21" s="1"/>
  <c r="I263" i="21" s="1"/>
  <c r="I275" i="21" s="1"/>
  <c r="I287" i="21" s="1"/>
  <c r="I299" i="21" s="1"/>
  <c r="I311" i="21" s="1"/>
  <c r="I323" i="21" s="1"/>
  <c r="I335" i="21" s="1"/>
  <c r="H131" i="21"/>
  <c r="H143" i="21" s="1"/>
  <c r="H155" i="21" s="1"/>
  <c r="H167" i="21" s="1"/>
  <c r="H179" i="21" s="1"/>
  <c r="H191" i="21" s="1"/>
  <c r="H203" i="21" s="1"/>
  <c r="H215" i="21" s="1"/>
  <c r="H227" i="21" s="1"/>
  <c r="H239" i="21" s="1"/>
  <c r="H251" i="21" s="1"/>
  <c r="H263" i="21" s="1"/>
  <c r="H275" i="21" s="1"/>
  <c r="H287" i="21" s="1"/>
  <c r="H299" i="21" s="1"/>
  <c r="H311" i="21" s="1"/>
  <c r="H323" i="21" s="1"/>
  <c r="H335" i="21" s="1"/>
  <c r="D131" i="21"/>
  <c r="D143" i="21" s="1"/>
  <c r="B131" i="21"/>
  <c r="J130" i="21"/>
  <c r="J142" i="21" s="1"/>
  <c r="J154" i="21" s="1"/>
  <c r="J166" i="21" s="1"/>
  <c r="J178" i="21" s="1"/>
  <c r="J190" i="21" s="1"/>
  <c r="J202" i="21" s="1"/>
  <c r="J214" i="21" s="1"/>
  <c r="J226" i="21" s="1"/>
  <c r="J238" i="21" s="1"/>
  <c r="J250" i="21" s="1"/>
  <c r="J262" i="21" s="1"/>
  <c r="J274" i="21" s="1"/>
  <c r="J286" i="21" s="1"/>
  <c r="J298" i="21" s="1"/>
  <c r="J310" i="21" s="1"/>
  <c r="J322" i="21" s="1"/>
  <c r="J334" i="21" s="1"/>
  <c r="I130" i="21"/>
  <c r="I142" i="21" s="1"/>
  <c r="I154" i="21" s="1"/>
  <c r="I166" i="21" s="1"/>
  <c r="I178" i="21" s="1"/>
  <c r="I190" i="21" s="1"/>
  <c r="I202" i="21" s="1"/>
  <c r="I214" i="21" s="1"/>
  <c r="I226" i="21" s="1"/>
  <c r="I238" i="21" s="1"/>
  <c r="I250" i="21" s="1"/>
  <c r="I262" i="21" s="1"/>
  <c r="I274" i="21" s="1"/>
  <c r="I286" i="21" s="1"/>
  <c r="I298" i="21" s="1"/>
  <c r="I310" i="21" s="1"/>
  <c r="I322" i="21" s="1"/>
  <c r="I334" i="21" s="1"/>
  <c r="H130" i="21"/>
  <c r="H142" i="21" s="1"/>
  <c r="H154" i="21" s="1"/>
  <c r="H166" i="21" s="1"/>
  <c r="H178" i="21" s="1"/>
  <c r="H190" i="21" s="1"/>
  <c r="H202" i="21" s="1"/>
  <c r="H214" i="21" s="1"/>
  <c r="H226" i="21" s="1"/>
  <c r="H238" i="21" s="1"/>
  <c r="H250" i="21" s="1"/>
  <c r="H262" i="21" s="1"/>
  <c r="H274" i="21" s="1"/>
  <c r="H286" i="21" s="1"/>
  <c r="H298" i="21" s="1"/>
  <c r="H310" i="21" s="1"/>
  <c r="H322" i="21" s="1"/>
  <c r="H334" i="21" s="1"/>
  <c r="D130" i="21"/>
  <c r="D142" i="21" s="1"/>
  <c r="B130" i="21"/>
  <c r="B142" i="21" s="1"/>
  <c r="B154" i="21" s="1"/>
  <c r="B166" i="21" s="1"/>
  <c r="B178" i="21" s="1"/>
  <c r="B190" i="21" s="1"/>
  <c r="B202" i="21" s="1"/>
  <c r="B214" i="21" s="1"/>
  <c r="B226" i="21" s="1"/>
  <c r="B238" i="21" s="1"/>
  <c r="B250" i="21" s="1"/>
  <c r="B262" i="21" s="1"/>
  <c r="B274" i="21" s="1"/>
  <c r="B286" i="21" s="1"/>
  <c r="B298" i="21" s="1"/>
  <c r="B310" i="21" s="1"/>
  <c r="B322" i="21" s="1"/>
  <c r="B334" i="21" s="1"/>
  <c r="J129" i="21"/>
  <c r="J141" i="21" s="1"/>
  <c r="J153" i="21" s="1"/>
  <c r="J165" i="21" s="1"/>
  <c r="J177" i="21" s="1"/>
  <c r="J189" i="21" s="1"/>
  <c r="J201" i="21" s="1"/>
  <c r="J213" i="21" s="1"/>
  <c r="J225" i="21" s="1"/>
  <c r="J237" i="21" s="1"/>
  <c r="J249" i="21" s="1"/>
  <c r="J261" i="21" s="1"/>
  <c r="J273" i="21" s="1"/>
  <c r="J285" i="21" s="1"/>
  <c r="J297" i="21" s="1"/>
  <c r="J309" i="21" s="1"/>
  <c r="J321" i="21" s="1"/>
  <c r="J333" i="21" s="1"/>
  <c r="I129" i="21"/>
  <c r="I141" i="21" s="1"/>
  <c r="I153" i="21" s="1"/>
  <c r="I165" i="21" s="1"/>
  <c r="I177" i="21" s="1"/>
  <c r="I189" i="21" s="1"/>
  <c r="I201" i="21" s="1"/>
  <c r="I213" i="21" s="1"/>
  <c r="I225" i="21" s="1"/>
  <c r="I237" i="21" s="1"/>
  <c r="I249" i="21" s="1"/>
  <c r="I261" i="21" s="1"/>
  <c r="I273" i="21" s="1"/>
  <c r="I285" i="21" s="1"/>
  <c r="I297" i="21" s="1"/>
  <c r="I309" i="21" s="1"/>
  <c r="I321" i="21" s="1"/>
  <c r="I333" i="21" s="1"/>
  <c r="H129" i="21"/>
  <c r="H141" i="21" s="1"/>
  <c r="H153" i="21" s="1"/>
  <c r="H165" i="21" s="1"/>
  <c r="H177" i="21" s="1"/>
  <c r="H189" i="21" s="1"/>
  <c r="H201" i="21" s="1"/>
  <c r="H213" i="21" s="1"/>
  <c r="H225" i="21" s="1"/>
  <c r="H237" i="21" s="1"/>
  <c r="H249" i="21" s="1"/>
  <c r="H261" i="21" s="1"/>
  <c r="H273" i="21" s="1"/>
  <c r="H285" i="21" s="1"/>
  <c r="H297" i="21" s="1"/>
  <c r="H309" i="21" s="1"/>
  <c r="H321" i="21" s="1"/>
  <c r="H333" i="21" s="1"/>
  <c r="D129" i="21"/>
  <c r="B129" i="21"/>
  <c r="B141" i="21" s="1"/>
  <c r="B153" i="21" s="1"/>
  <c r="B165" i="21" s="1"/>
  <c r="B177" i="21" s="1"/>
  <c r="B189" i="21" s="1"/>
  <c r="B201" i="21" s="1"/>
  <c r="B213" i="21" s="1"/>
  <c r="B225" i="21" s="1"/>
  <c r="B237" i="21" s="1"/>
  <c r="B249" i="21" s="1"/>
  <c r="B261" i="21" s="1"/>
  <c r="B273" i="21" s="1"/>
  <c r="B285" i="21" s="1"/>
  <c r="B297" i="21" s="1"/>
  <c r="B309" i="21" s="1"/>
  <c r="B321" i="21" s="1"/>
  <c r="B333" i="21" s="1"/>
  <c r="J128" i="21"/>
  <c r="J140" i="21" s="1"/>
  <c r="J152" i="21" s="1"/>
  <c r="J164" i="21" s="1"/>
  <c r="J176" i="21" s="1"/>
  <c r="J188" i="21" s="1"/>
  <c r="J200" i="21" s="1"/>
  <c r="J212" i="21" s="1"/>
  <c r="J224" i="21" s="1"/>
  <c r="J236" i="21" s="1"/>
  <c r="J248" i="21" s="1"/>
  <c r="J260" i="21" s="1"/>
  <c r="J272" i="21" s="1"/>
  <c r="J284" i="21" s="1"/>
  <c r="J296" i="21" s="1"/>
  <c r="J308" i="21" s="1"/>
  <c r="J320" i="21" s="1"/>
  <c r="J332" i="21" s="1"/>
  <c r="I128" i="21"/>
  <c r="I140" i="21" s="1"/>
  <c r="I152" i="21" s="1"/>
  <c r="I164" i="21" s="1"/>
  <c r="I176" i="21" s="1"/>
  <c r="I188" i="21" s="1"/>
  <c r="I200" i="21" s="1"/>
  <c r="I212" i="21" s="1"/>
  <c r="I224" i="21" s="1"/>
  <c r="I236" i="21" s="1"/>
  <c r="I248" i="21" s="1"/>
  <c r="I260" i="21" s="1"/>
  <c r="I272" i="21" s="1"/>
  <c r="I284" i="21" s="1"/>
  <c r="I296" i="21" s="1"/>
  <c r="I308" i="21" s="1"/>
  <c r="I320" i="21" s="1"/>
  <c r="I332" i="21" s="1"/>
  <c r="H128" i="21"/>
  <c r="H140" i="21" s="1"/>
  <c r="H152" i="21" s="1"/>
  <c r="H164" i="21" s="1"/>
  <c r="H176" i="21" s="1"/>
  <c r="H188" i="21" s="1"/>
  <c r="H200" i="21" s="1"/>
  <c r="H212" i="21" s="1"/>
  <c r="H224" i="21" s="1"/>
  <c r="H236" i="21" s="1"/>
  <c r="H248" i="21" s="1"/>
  <c r="H260" i="21" s="1"/>
  <c r="H272" i="21" s="1"/>
  <c r="H284" i="21" s="1"/>
  <c r="H296" i="21" s="1"/>
  <c r="H308" i="21" s="1"/>
  <c r="H320" i="21" s="1"/>
  <c r="H332" i="21" s="1"/>
  <c r="D128" i="21"/>
  <c r="D140" i="21" s="1"/>
  <c r="D152" i="21" s="1"/>
  <c r="D164" i="21" s="1"/>
  <c r="B128" i="21"/>
  <c r="B140" i="21" s="1"/>
  <c r="B152" i="21" s="1"/>
  <c r="B164" i="21" s="1"/>
  <c r="B176" i="21" s="1"/>
  <c r="B188" i="21" s="1"/>
  <c r="B200" i="21" s="1"/>
  <c r="B212" i="21" s="1"/>
  <c r="B224" i="21" s="1"/>
  <c r="B236" i="21" s="1"/>
  <c r="B248" i="21" s="1"/>
  <c r="B260" i="21" s="1"/>
  <c r="B272" i="21" s="1"/>
  <c r="B284" i="21" s="1"/>
  <c r="B296" i="21" s="1"/>
  <c r="B308" i="21" s="1"/>
  <c r="B320" i="21" s="1"/>
  <c r="B332" i="21" s="1"/>
  <c r="J127" i="21"/>
  <c r="J139" i="21" s="1"/>
  <c r="J151" i="21" s="1"/>
  <c r="J163" i="21" s="1"/>
  <c r="J175" i="21" s="1"/>
  <c r="J187" i="21" s="1"/>
  <c r="J199" i="21" s="1"/>
  <c r="J211" i="21" s="1"/>
  <c r="J223" i="21" s="1"/>
  <c r="J235" i="21" s="1"/>
  <c r="J247" i="21" s="1"/>
  <c r="J259" i="21" s="1"/>
  <c r="J271" i="21" s="1"/>
  <c r="J283" i="21" s="1"/>
  <c r="J295" i="21" s="1"/>
  <c r="J307" i="21" s="1"/>
  <c r="J319" i="21" s="1"/>
  <c r="J331" i="21" s="1"/>
  <c r="I127" i="21"/>
  <c r="I139" i="21" s="1"/>
  <c r="I151" i="21" s="1"/>
  <c r="I163" i="21" s="1"/>
  <c r="I175" i="21" s="1"/>
  <c r="I187" i="21" s="1"/>
  <c r="I199" i="21" s="1"/>
  <c r="I211" i="21" s="1"/>
  <c r="I223" i="21" s="1"/>
  <c r="I235" i="21" s="1"/>
  <c r="I247" i="21" s="1"/>
  <c r="I259" i="21" s="1"/>
  <c r="I271" i="21" s="1"/>
  <c r="I283" i="21" s="1"/>
  <c r="I295" i="21" s="1"/>
  <c r="I307" i="21" s="1"/>
  <c r="I319" i="21" s="1"/>
  <c r="I331" i="21" s="1"/>
  <c r="H127" i="21"/>
  <c r="H139" i="21" s="1"/>
  <c r="H151" i="21" s="1"/>
  <c r="H163" i="21" s="1"/>
  <c r="H175" i="21" s="1"/>
  <c r="H187" i="21" s="1"/>
  <c r="H199" i="21" s="1"/>
  <c r="H211" i="21" s="1"/>
  <c r="H223" i="21" s="1"/>
  <c r="H235" i="21" s="1"/>
  <c r="H247" i="21" s="1"/>
  <c r="H259" i="21" s="1"/>
  <c r="H271" i="21" s="1"/>
  <c r="H283" i="21" s="1"/>
  <c r="H295" i="21" s="1"/>
  <c r="H307" i="21" s="1"/>
  <c r="H319" i="21" s="1"/>
  <c r="H331" i="21" s="1"/>
  <c r="D127" i="21"/>
  <c r="D139" i="21" s="1"/>
  <c r="B127" i="21"/>
  <c r="C127" i="21" s="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F1" i="21"/>
  <c r="B358" i="21" l="1"/>
  <c r="B359" i="21" s="1"/>
  <c r="C135" i="21"/>
  <c r="C131" i="21"/>
  <c r="C132" i="21"/>
  <c r="C128" i="21"/>
  <c r="C164" i="21"/>
  <c r="C136" i="21"/>
  <c r="B143" i="21"/>
  <c r="B155" i="21" s="1"/>
  <c r="B167" i="21" s="1"/>
  <c r="B179" i="21" s="1"/>
  <c r="B191" i="21" s="1"/>
  <c r="B203" i="21" s="1"/>
  <c r="B215" i="21" s="1"/>
  <c r="B227" i="21" s="1"/>
  <c r="B239" i="21" s="1"/>
  <c r="B251" i="21" s="1"/>
  <c r="B263" i="21" s="1"/>
  <c r="B275" i="21" s="1"/>
  <c r="B287" i="21" s="1"/>
  <c r="B299" i="21" s="1"/>
  <c r="B311" i="21" s="1"/>
  <c r="B323" i="21" s="1"/>
  <c r="B335" i="21" s="1"/>
  <c r="C156" i="21"/>
  <c r="D176" i="21"/>
  <c r="C140" i="21"/>
  <c r="D159" i="21"/>
  <c r="C129" i="21"/>
  <c r="D141" i="21"/>
  <c r="C137" i="21"/>
  <c r="D149" i="21"/>
  <c r="D151" i="21"/>
  <c r="D188" i="21"/>
  <c r="C176" i="21"/>
  <c r="D158" i="21"/>
  <c r="C146" i="21"/>
  <c r="D184" i="21"/>
  <c r="C172" i="21"/>
  <c r="B139" i="21"/>
  <c r="B151" i="21" s="1"/>
  <c r="B163" i="21" s="1"/>
  <c r="B175" i="21" s="1"/>
  <c r="B187" i="21" s="1"/>
  <c r="B199" i="21" s="1"/>
  <c r="B211" i="21" s="1"/>
  <c r="B223" i="21" s="1"/>
  <c r="B235" i="21" s="1"/>
  <c r="B247" i="21" s="1"/>
  <c r="B259" i="21" s="1"/>
  <c r="B271" i="21" s="1"/>
  <c r="B283" i="21" s="1"/>
  <c r="B295" i="21" s="1"/>
  <c r="B307" i="21" s="1"/>
  <c r="B319" i="21" s="1"/>
  <c r="B331" i="21" s="1"/>
  <c r="C152" i="21"/>
  <c r="B360" i="21"/>
  <c r="B361" i="21" s="1"/>
  <c r="C359" i="21"/>
  <c r="D155" i="21"/>
  <c r="C143" i="21"/>
  <c r="C133" i="21"/>
  <c r="D145" i="21"/>
  <c r="C148" i="21"/>
  <c r="D154" i="21"/>
  <c r="C142" i="21"/>
  <c r="D180" i="21"/>
  <c r="C168" i="21"/>
  <c r="D162" i="21"/>
  <c r="C150" i="21"/>
  <c r="C144" i="21"/>
  <c r="B147" i="21"/>
  <c r="B159" i="21" s="1"/>
  <c r="B171" i="21" s="1"/>
  <c r="B183" i="21" s="1"/>
  <c r="B195" i="21" s="1"/>
  <c r="B207" i="21" s="1"/>
  <c r="B219" i="21" s="1"/>
  <c r="B231" i="21" s="1"/>
  <c r="B243" i="21" s="1"/>
  <c r="B255" i="21" s="1"/>
  <c r="B267" i="21" s="1"/>
  <c r="B279" i="21" s="1"/>
  <c r="B291" i="21" s="1"/>
  <c r="B303" i="21" s="1"/>
  <c r="B315" i="21" s="1"/>
  <c r="B327" i="21" s="1"/>
  <c r="B339" i="21" s="1"/>
  <c r="C160" i="21"/>
  <c r="C130" i="21"/>
  <c r="C134" i="21"/>
  <c r="C138" i="21"/>
  <c r="C358" i="21"/>
  <c r="L407" i="21" l="1"/>
  <c r="L408" i="21" s="1"/>
  <c r="L409" i="21" s="1"/>
  <c r="L410" i="21" s="1"/>
  <c r="L411" i="21" s="1"/>
  <c r="L412" i="21" s="1"/>
  <c r="L413" i="21" s="1"/>
  <c r="L414" i="21" s="1"/>
  <c r="L415" i="21" s="1"/>
  <c r="L416" i="21" s="1"/>
  <c r="L417" i="21" s="1"/>
  <c r="L418" i="21" s="1"/>
  <c r="L419" i="21" s="1"/>
  <c r="L420" i="21" s="1"/>
  <c r="L421" i="21" s="1"/>
  <c r="L422" i="21" s="1"/>
  <c r="L423" i="21" s="1"/>
  <c r="L424" i="21" s="1"/>
  <c r="L425" i="21" s="1"/>
  <c r="L426" i="21" s="1"/>
  <c r="L427" i="21" s="1"/>
  <c r="L428" i="21" s="1"/>
  <c r="L429" i="21" s="1"/>
  <c r="B362" i="21"/>
  <c r="C361" i="21"/>
  <c r="D170" i="21"/>
  <c r="C158" i="21"/>
  <c r="C360" i="21"/>
  <c r="C154" i="21"/>
  <c r="D166" i="21"/>
  <c r="D163" i="21"/>
  <c r="C151" i="21"/>
  <c r="C149" i="21"/>
  <c r="D161" i="21"/>
  <c r="C147" i="21"/>
  <c r="C141" i="21"/>
  <c r="D153" i="21"/>
  <c r="D171" i="21"/>
  <c r="C159" i="21"/>
  <c r="D174" i="21"/>
  <c r="C162" i="21"/>
  <c r="D192" i="21"/>
  <c r="C180" i="21"/>
  <c r="C145" i="21"/>
  <c r="D157" i="21"/>
  <c r="D167" i="21"/>
  <c r="C155" i="21"/>
  <c r="D196" i="21"/>
  <c r="C184" i="21"/>
  <c r="D200" i="21"/>
  <c r="C188" i="21"/>
  <c r="C139" i="21"/>
  <c r="D179" i="21" l="1"/>
  <c r="C167" i="21"/>
  <c r="D175" i="21"/>
  <c r="C163" i="21"/>
  <c r="D208" i="21"/>
  <c r="C196" i="21"/>
  <c r="C153" i="21"/>
  <c r="D165" i="21"/>
  <c r="C166" i="21"/>
  <c r="D178" i="21"/>
  <c r="C170" i="21"/>
  <c r="D182" i="21"/>
  <c r="D204" i="21"/>
  <c r="C192" i="21"/>
  <c r="C157" i="21"/>
  <c r="D169" i="21"/>
  <c r="D173" i="21"/>
  <c r="C161" i="21"/>
  <c r="B363" i="21"/>
  <c r="C362" i="21"/>
  <c r="D212" i="21"/>
  <c r="C200" i="21"/>
  <c r="C174" i="21"/>
  <c r="D186" i="21"/>
  <c r="D183" i="21"/>
  <c r="C171" i="21"/>
  <c r="D185" i="21" l="1"/>
  <c r="C173" i="21"/>
  <c r="C186" i="21"/>
  <c r="D198" i="21"/>
  <c r="B364" i="21"/>
  <c r="C363" i="21"/>
  <c r="C182" i="21"/>
  <c r="D194" i="21"/>
  <c r="D216" i="21"/>
  <c r="C204" i="21"/>
  <c r="D195" i="21"/>
  <c r="C183" i="21"/>
  <c r="D181" i="21"/>
  <c r="C169" i="21"/>
  <c r="C165" i="21"/>
  <c r="D177" i="21"/>
  <c r="D191" i="21"/>
  <c r="C179" i="21"/>
  <c r="D224" i="21"/>
  <c r="C212" i="21"/>
  <c r="C178" i="21"/>
  <c r="D190" i="21"/>
  <c r="D220" i="21"/>
  <c r="C208" i="21"/>
  <c r="D187" i="21"/>
  <c r="C175" i="21"/>
  <c r="N406" i="21" l="1"/>
  <c r="V9" i="9" s="1"/>
  <c r="AF9" i="9" s="1"/>
  <c r="AH9" i="9" s="1"/>
  <c r="AI9" i="9" s="1"/>
  <c r="AK9" i="9" s="1"/>
  <c r="AM9" i="9" s="1"/>
  <c r="M407" i="21"/>
  <c r="D232" i="21"/>
  <c r="C220" i="21"/>
  <c r="D236" i="21"/>
  <c r="C224" i="21"/>
  <c r="C190" i="21"/>
  <c r="D202" i="21"/>
  <c r="B365" i="21"/>
  <c r="C364" i="21"/>
  <c r="D199" i="21"/>
  <c r="C187" i="21"/>
  <c r="D203" i="21"/>
  <c r="C191" i="21"/>
  <c r="D189" i="21"/>
  <c r="C177" i="21"/>
  <c r="D207" i="21"/>
  <c r="C195" i="21"/>
  <c r="C194" i="21"/>
  <c r="D206" i="21"/>
  <c r="D193" i="21"/>
  <c r="C181" i="21"/>
  <c r="C198" i="21"/>
  <c r="D210" i="21"/>
  <c r="D228" i="21"/>
  <c r="C216" i="21"/>
  <c r="D197" i="21"/>
  <c r="C185" i="21"/>
  <c r="M408" i="21" l="1"/>
  <c r="N407" i="21"/>
  <c r="V10" i="9" s="1"/>
  <c r="AF10" i="9" s="1"/>
  <c r="AH10" i="9" s="1"/>
  <c r="AI10" i="9" s="1"/>
  <c r="AK10" i="9" s="1"/>
  <c r="AM10" i="9" s="1"/>
  <c r="X9" i="9"/>
  <c r="Y9" i="9" s="1"/>
  <c r="AA9" i="9" s="1"/>
  <c r="AC9" i="9" s="1"/>
  <c r="D219" i="21"/>
  <c r="C207" i="21"/>
  <c r="D240" i="21"/>
  <c r="C228" i="21"/>
  <c r="D222" i="21"/>
  <c r="C210" i="21"/>
  <c r="D205" i="21"/>
  <c r="C193" i="21"/>
  <c r="D215" i="21"/>
  <c r="C203" i="21"/>
  <c r="D211" i="21"/>
  <c r="C199" i="21"/>
  <c r="C197" i="21"/>
  <c r="D209" i="21"/>
  <c r="C206" i="21"/>
  <c r="D218" i="21"/>
  <c r="D201" i="21"/>
  <c r="C189" i="21"/>
  <c r="B366" i="21"/>
  <c r="C365" i="21"/>
  <c r="C202" i="21"/>
  <c r="D214" i="21"/>
  <c r="D248" i="21"/>
  <c r="C236" i="21"/>
  <c r="D244" i="21"/>
  <c r="C232" i="21"/>
  <c r="AP9" i="9" l="1"/>
  <c r="X10" i="9"/>
  <c r="Y10" i="9" s="1"/>
  <c r="AA10" i="9" s="1"/>
  <c r="AC10" i="9" s="1"/>
  <c r="AP10" i="9" s="1"/>
  <c r="M409" i="21"/>
  <c r="N408" i="21"/>
  <c r="V11" i="9" s="1"/>
  <c r="AF11" i="9" s="1"/>
  <c r="AH11" i="9" s="1"/>
  <c r="AI11" i="9" s="1"/>
  <c r="AK11" i="9" s="1"/>
  <c r="AM11" i="9" s="1"/>
  <c r="D223" i="21"/>
  <c r="C211" i="21"/>
  <c r="D260" i="21"/>
  <c r="C248" i="21"/>
  <c r="B367" i="21"/>
  <c r="C366" i="21"/>
  <c r="D213" i="21"/>
  <c r="C201" i="21"/>
  <c r="D230" i="21"/>
  <c r="C218" i="21"/>
  <c r="C222" i="21"/>
  <c r="D234" i="21"/>
  <c r="D231" i="21"/>
  <c r="C219" i="21"/>
  <c r="C214" i="21"/>
  <c r="D226" i="21"/>
  <c r="D227" i="21"/>
  <c r="C215" i="21"/>
  <c r="D217" i="21"/>
  <c r="C205" i="21"/>
  <c r="D252" i="21"/>
  <c r="C240" i="21"/>
  <c r="C244" i="21"/>
  <c r="D256" i="21"/>
  <c r="D221" i="21"/>
  <c r="C209" i="21"/>
  <c r="X11" i="9" l="1"/>
  <c r="Y11" i="9" s="1"/>
  <c r="AA11" i="9" s="1"/>
  <c r="AC11" i="9" s="1"/>
  <c r="N409" i="21"/>
  <c r="V12" i="9" s="1"/>
  <c r="AF12" i="9" s="1"/>
  <c r="AH12" i="9" s="1"/>
  <c r="AI12" i="9" s="1"/>
  <c r="AK12" i="9" s="1"/>
  <c r="AM12" i="9" s="1"/>
  <c r="M410" i="21"/>
  <c r="C217" i="21"/>
  <c r="D229" i="21"/>
  <c r="C234" i="21"/>
  <c r="D246" i="21"/>
  <c r="D225" i="21"/>
  <c r="C213" i="21"/>
  <c r="D272" i="21"/>
  <c r="C260" i="21"/>
  <c r="D235" i="21"/>
  <c r="C223" i="21"/>
  <c r="D239" i="21"/>
  <c r="C227" i="21"/>
  <c r="C221" i="21"/>
  <c r="D233" i="21"/>
  <c r="C252" i="21"/>
  <c r="D264" i="21"/>
  <c r="C226" i="21"/>
  <c r="D238" i="21"/>
  <c r="D268" i="21"/>
  <c r="C256" i="21"/>
  <c r="D243" i="21"/>
  <c r="C231" i="21"/>
  <c r="C230" i="21"/>
  <c r="D242" i="21"/>
  <c r="B368" i="21"/>
  <c r="C367" i="21"/>
  <c r="AP11" i="9" l="1"/>
  <c r="X12" i="9"/>
  <c r="Y12" i="9" s="1"/>
  <c r="AA12" i="9" s="1"/>
  <c r="AC12" i="9" s="1"/>
  <c r="AP12" i="9" s="1"/>
  <c r="M411" i="21"/>
  <c r="N410" i="21"/>
  <c r="V13" i="9" s="1"/>
  <c r="AF13" i="9" s="1"/>
  <c r="AH13" i="9" s="1"/>
  <c r="AI13" i="9" s="1"/>
  <c r="AK13" i="9" s="1"/>
  <c r="AM13" i="9" s="1"/>
  <c r="C238" i="21"/>
  <c r="D250" i="21"/>
  <c r="D280" i="21"/>
  <c r="C268" i="21"/>
  <c r="D245" i="21"/>
  <c r="C233" i="21"/>
  <c r="D251" i="21"/>
  <c r="C239" i="21"/>
  <c r="D284" i="21"/>
  <c r="C272" i="21"/>
  <c r="D237" i="21"/>
  <c r="C225" i="21"/>
  <c r="D247" i="21"/>
  <c r="C235" i="21"/>
  <c r="C246" i="21"/>
  <c r="D258" i="21"/>
  <c r="B369" i="21"/>
  <c r="C368" i="21"/>
  <c r="C242" i="21"/>
  <c r="D254" i="21"/>
  <c r="D255" i="21"/>
  <c r="C243" i="21"/>
  <c r="D276" i="21"/>
  <c r="C264" i="21"/>
  <c r="C229" i="21"/>
  <c r="D241" i="21"/>
  <c r="X13" i="9" l="1"/>
  <c r="Y13" i="9" s="1"/>
  <c r="AA13" i="9" s="1"/>
  <c r="AC13" i="9" s="1"/>
  <c r="M412" i="21"/>
  <c r="N411" i="21"/>
  <c r="V14" i="9" s="1"/>
  <c r="AF14" i="9" s="1"/>
  <c r="AH14" i="9" s="1"/>
  <c r="AI14" i="9" s="1"/>
  <c r="AK14" i="9" s="1"/>
  <c r="AM14" i="9" s="1"/>
  <c r="D253" i="21"/>
  <c r="C241" i="21"/>
  <c r="C276" i="21"/>
  <c r="D288" i="21"/>
  <c r="D259" i="21"/>
  <c r="C247" i="21"/>
  <c r="D249" i="21"/>
  <c r="C237" i="21"/>
  <c r="C245" i="21"/>
  <c r="D257" i="21"/>
  <c r="B370" i="21"/>
  <c r="C369" i="21"/>
  <c r="C258" i="21"/>
  <c r="D270" i="21"/>
  <c r="D292" i="21"/>
  <c r="C280" i="21"/>
  <c r="D267" i="21"/>
  <c r="C255" i="21"/>
  <c r="C254" i="21"/>
  <c r="D266" i="21"/>
  <c r="C284" i="21"/>
  <c r="D296" i="21"/>
  <c r="D263" i="21"/>
  <c r="C251" i="21"/>
  <c r="C250" i="21"/>
  <c r="D262" i="21"/>
  <c r="AP13" i="9" l="1"/>
  <c r="X14" i="9"/>
  <c r="Y14" i="9" s="1"/>
  <c r="AA14" i="9" s="1"/>
  <c r="AC14" i="9" s="1"/>
  <c r="AP14" i="9" s="1"/>
  <c r="M413" i="21"/>
  <c r="N412" i="21"/>
  <c r="V15" i="9" s="1"/>
  <c r="AF15" i="9" s="1"/>
  <c r="AH15" i="9" s="1"/>
  <c r="AI15" i="9" s="1"/>
  <c r="AK15" i="9" s="1"/>
  <c r="AM15" i="9" s="1"/>
  <c r="C296" i="21"/>
  <c r="D308" i="21"/>
  <c r="B371" i="21"/>
  <c r="C370" i="21"/>
  <c r="D269" i="21"/>
  <c r="C257" i="21"/>
  <c r="D300" i="21"/>
  <c r="C288" i="21"/>
  <c r="C253" i="21"/>
  <c r="D265" i="21"/>
  <c r="C262" i="21"/>
  <c r="D274" i="21"/>
  <c r="D279" i="21"/>
  <c r="C267" i="21"/>
  <c r="C270" i="21"/>
  <c r="D282" i="21"/>
  <c r="D261" i="21"/>
  <c r="C249" i="21"/>
  <c r="D271" i="21"/>
  <c r="C259" i="21"/>
  <c r="D275" i="21"/>
  <c r="C263" i="21"/>
  <c r="C266" i="21"/>
  <c r="D278" i="21"/>
  <c r="D304" i="21"/>
  <c r="C292" i="21"/>
  <c r="X15" i="9" l="1"/>
  <c r="Y15" i="9" s="1"/>
  <c r="AA15" i="9" s="1"/>
  <c r="AC15" i="9" s="1"/>
  <c r="AP15" i="9" s="1"/>
  <c r="M414" i="21"/>
  <c r="N413" i="21"/>
  <c r="V16" i="9" s="1"/>
  <c r="AF16" i="9" s="1"/>
  <c r="AH16" i="9" s="1"/>
  <c r="AI16" i="9" s="1"/>
  <c r="AK16" i="9" s="1"/>
  <c r="AM16" i="9" s="1"/>
  <c r="C282" i="21"/>
  <c r="D294" i="21"/>
  <c r="C278" i="21"/>
  <c r="D290" i="21"/>
  <c r="D273" i="21"/>
  <c r="C261" i="21"/>
  <c r="D291" i="21"/>
  <c r="C279" i="21"/>
  <c r="C274" i="21"/>
  <c r="D286" i="21"/>
  <c r="D277" i="21"/>
  <c r="C265" i="21"/>
  <c r="D287" i="21"/>
  <c r="C275" i="21"/>
  <c r="B372" i="21"/>
  <c r="C371" i="21"/>
  <c r="D320" i="21"/>
  <c r="C308" i="21"/>
  <c r="D316" i="21"/>
  <c r="C304" i="21"/>
  <c r="D283" i="21"/>
  <c r="C271" i="21"/>
  <c r="D312" i="21"/>
  <c r="C300" i="21"/>
  <c r="D281" i="21"/>
  <c r="C269" i="21"/>
  <c r="X16" i="9" l="1"/>
  <c r="Y16" i="9" s="1"/>
  <c r="AA16" i="9" s="1"/>
  <c r="AC16" i="9" s="1"/>
  <c r="AP16" i="9" s="1"/>
  <c r="M415" i="21"/>
  <c r="N414" i="21"/>
  <c r="V17" i="9" s="1"/>
  <c r="AF17" i="9" s="1"/>
  <c r="AH17" i="9" s="1"/>
  <c r="AI17" i="9" s="1"/>
  <c r="AK17" i="9" s="1"/>
  <c r="AM17" i="9" s="1"/>
  <c r="D298" i="21"/>
  <c r="C286" i="21"/>
  <c r="D306" i="21"/>
  <c r="C294" i="21"/>
  <c r="C281" i="21"/>
  <c r="D293" i="21"/>
  <c r="D295" i="21"/>
  <c r="C283" i="21"/>
  <c r="D303" i="21"/>
  <c r="C291" i="21"/>
  <c r="D285" i="21"/>
  <c r="C273" i="21"/>
  <c r="D302" i="21"/>
  <c r="C290" i="21"/>
  <c r="D332" i="21"/>
  <c r="C332" i="21" s="1"/>
  <c r="C320" i="21"/>
  <c r="C277" i="21"/>
  <c r="D289" i="21"/>
  <c r="C312" i="21"/>
  <c r="D324" i="21"/>
  <c r="D328" i="21"/>
  <c r="C316" i="21"/>
  <c r="B373" i="21"/>
  <c r="C372" i="21"/>
  <c r="D299" i="21"/>
  <c r="C287" i="21"/>
  <c r="X17" i="9" l="1"/>
  <c r="Y17" i="9" s="1"/>
  <c r="AA17" i="9" s="1"/>
  <c r="AC17" i="9" s="1"/>
  <c r="M416" i="21"/>
  <c r="N415" i="21"/>
  <c r="V18" i="9" s="1"/>
  <c r="AF18" i="9" s="1"/>
  <c r="AH18" i="9" s="1"/>
  <c r="AI18" i="9" s="1"/>
  <c r="AK18" i="9" s="1"/>
  <c r="AM18" i="9" s="1"/>
  <c r="C295" i="21"/>
  <c r="D307" i="21"/>
  <c r="D310" i="21"/>
  <c r="C298" i="21"/>
  <c r="D311" i="21"/>
  <c r="C299" i="21"/>
  <c r="D336" i="21"/>
  <c r="C336" i="21" s="1"/>
  <c r="C324" i="21"/>
  <c r="D297" i="21"/>
  <c r="C285" i="21"/>
  <c r="D305" i="21"/>
  <c r="C293" i="21"/>
  <c r="D318" i="21"/>
  <c r="C306" i="21"/>
  <c r="D340" i="21"/>
  <c r="C340" i="21" s="1"/>
  <c r="C328" i="21"/>
  <c r="B374" i="21"/>
  <c r="C373" i="21"/>
  <c r="D301" i="21"/>
  <c r="C289" i="21"/>
  <c r="D314" i="21"/>
  <c r="C302" i="21"/>
  <c r="D315" i="21"/>
  <c r="C303" i="21"/>
  <c r="AP17" i="9" l="1"/>
  <c r="X18" i="9"/>
  <c r="Y18" i="9" s="1"/>
  <c r="AA18" i="9" s="1"/>
  <c r="AC18" i="9" s="1"/>
  <c r="AP18" i="9" s="1"/>
  <c r="M417" i="21"/>
  <c r="N416" i="21"/>
  <c r="V19" i="9" s="1"/>
  <c r="AF19" i="9" s="1"/>
  <c r="AH19" i="9" s="1"/>
  <c r="AI19" i="9" s="1"/>
  <c r="AK19" i="9" s="1"/>
  <c r="AM19" i="9" s="1"/>
  <c r="C374" i="21"/>
  <c r="C305" i="21"/>
  <c r="D317" i="21"/>
  <c r="C297" i="21"/>
  <c r="D309" i="21"/>
  <c r="D327" i="21"/>
  <c r="C315" i="21"/>
  <c r="C301" i="21"/>
  <c r="D313" i="21"/>
  <c r="D330" i="21"/>
  <c r="C318" i="21"/>
  <c r="D322" i="21"/>
  <c r="C310" i="21"/>
  <c r="C311" i="21"/>
  <c r="D323" i="21"/>
  <c r="D319" i="21"/>
  <c r="C307" i="21"/>
  <c r="D326" i="21"/>
  <c r="C314" i="21"/>
  <c r="X19" i="9" l="1"/>
  <c r="Y19" i="9" s="1"/>
  <c r="AA19" i="9" s="1"/>
  <c r="AC19" i="9" s="1"/>
  <c r="AP19" i="9" s="1"/>
  <c r="M418" i="21"/>
  <c r="N417" i="21"/>
  <c r="V20" i="9" s="1"/>
  <c r="AF20" i="9" s="1"/>
  <c r="AH20" i="9" s="1"/>
  <c r="AI20" i="9" s="1"/>
  <c r="AK20" i="9" s="1"/>
  <c r="AM20" i="9" s="1"/>
  <c r="D331" i="21"/>
  <c r="C331" i="21" s="1"/>
  <c r="C319" i="21"/>
  <c r="C313" i="21"/>
  <c r="D325" i="21"/>
  <c r="D335" i="21"/>
  <c r="C335" i="21" s="1"/>
  <c r="C323" i="21"/>
  <c r="D338" i="21"/>
  <c r="C326" i="21"/>
  <c r="C317" i="21"/>
  <c r="D329" i="21"/>
  <c r="D339" i="21"/>
  <c r="C339" i="21" s="1"/>
  <c r="C327" i="21"/>
  <c r="D342" i="21"/>
  <c r="C330" i="21"/>
  <c r="D334" i="21"/>
  <c r="C322" i="21"/>
  <c r="C309" i="21"/>
  <c r="D321" i="21"/>
  <c r="X20" i="9" l="1"/>
  <c r="Y20" i="9" s="1"/>
  <c r="AA20" i="9" s="1"/>
  <c r="AC20" i="9" s="1"/>
  <c r="AP20" i="9" s="1"/>
  <c r="M419" i="21"/>
  <c r="N418" i="21"/>
  <c r="V21" i="9" s="1"/>
  <c r="AF21" i="9" s="1"/>
  <c r="AH21" i="9" s="1"/>
  <c r="AI21" i="9" s="1"/>
  <c r="AK21" i="9" s="1"/>
  <c r="AM21" i="9" s="1"/>
  <c r="C325" i="21"/>
  <c r="D337" i="21"/>
  <c r="C337" i="21" s="1"/>
  <c r="C334" i="21"/>
  <c r="C329" i="21"/>
  <c r="D341" i="21"/>
  <c r="C341" i="21" s="1"/>
  <c r="C338" i="21"/>
  <c r="C321" i="21"/>
  <c r="D333" i="21"/>
  <c r="C333" i="21" s="1"/>
  <c r="C342" i="21"/>
  <c r="X21" i="9" l="1"/>
  <c r="Y21" i="9" s="1"/>
  <c r="AA21" i="9" s="1"/>
  <c r="AC21" i="9" s="1"/>
  <c r="AP21" i="9" s="1"/>
  <c r="M420" i="21"/>
  <c r="N419" i="21"/>
  <c r="V22" i="9" s="1"/>
  <c r="AF22" i="9" s="1"/>
  <c r="AH22" i="9" s="1"/>
  <c r="AI22" i="9" s="1"/>
  <c r="AK22" i="9" s="1"/>
  <c r="AM22" i="9" s="1"/>
  <c r="X22" i="9" l="1"/>
  <c r="Y22" i="9" s="1"/>
  <c r="AA22" i="9" s="1"/>
  <c r="AC22" i="9" s="1"/>
  <c r="AP22" i="9" s="1"/>
  <c r="M421" i="21"/>
  <c r="N420" i="21"/>
  <c r="V23" i="9" s="1"/>
  <c r="AF23" i="9" s="1"/>
  <c r="AH23" i="9" s="1"/>
  <c r="AI23" i="9" s="1"/>
  <c r="AK23" i="9" s="1"/>
  <c r="AM23" i="9" s="1"/>
  <c r="X23" i="9" l="1"/>
  <c r="Y23" i="9" s="1"/>
  <c r="AA23" i="9" s="1"/>
  <c r="AC23" i="9" s="1"/>
  <c r="AP23" i="9" s="1"/>
  <c r="M422" i="21"/>
  <c r="N421" i="21"/>
  <c r="V24" i="9" s="1"/>
  <c r="AF24" i="9" s="1"/>
  <c r="AH24" i="9" s="1"/>
  <c r="AI24" i="9" s="1"/>
  <c r="AK24" i="9" s="1"/>
  <c r="AM24" i="9" s="1"/>
  <c r="X24" i="9" l="1"/>
  <c r="Y24" i="9" s="1"/>
  <c r="AA24" i="9" s="1"/>
  <c r="AC24" i="9" s="1"/>
  <c r="AP24" i="9" s="1"/>
  <c r="M423" i="21"/>
  <c r="N422" i="21"/>
  <c r="V25" i="9" s="1"/>
  <c r="AF25" i="9" s="1"/>
  <c r="AH25" i="9" s="1"/>
  <c r="AI25" i="9" s="1"/>
  <c r="AK25" i="9" s="1"/>
  <c r="AM25" i="9" s="1"/>
  <c r="X25" i="9" l="1"/>
  <c r="Y25" i="9" s="1"/>
  <c r="AA25" i="9" s="1"/>
  <c r="AC25" i="9" s="1"/>
  <c r="AP25" i="9" s="1"/>
  <c r="M424" i="21"/>
  <c r="N423" i="21"/>
  <c r="V26" i="9" s="1"/>
  <c r="AF26" i="9" s="1"/>
  <c r="AH26" i="9" s="1"/>
  <c r="AI26" i="9" s="1"/>
  <c r="AK26" i="9" s="1"/>
  <c r="AM26" i="9" s="1"/>
  <c r="X26" i="9" l="1"/>
  <c r="Y26" i="9" s="1"/>
  <c r="AA26" i="9" s="1"/>
  <c r="AC26" i="9" s="1"/>
  <c r="AP26" i="9" s="1"/>
  <c r="M425" i="21"/>
  <c r="N424" i="21"/>
  <c r="V27" i="9" s="1"/>
  <c r="AF27" i="9" s="1"/>
  <c r="AH27" i="9" s="1"/>
  <c r="AI27" i="9" s="1"/>
  <c r="AK27" i="9" s="1"/>
  <c r="AM27" i="9" s="1"/>
  <c r="X27" i="9" l="1"/>
  <c r="Y27" i="9" s="1"/>
  <c r="AA27" i="9" s="1"/>
  <c r="AC27" i="9" s="1"/>
  <c r="AP27" i="9" s="1"/>
  <c r="M426" i="21"/>
  <c r="N425" i="21"/>
  <c r="V28" i="9" s="1"/>
  <c r="AF28" i="9" s="1"/>
  <c r="AH28" i="9" s="1"/>
  <c r="AI28" i="9" s="1"/>
  <c r="AK28" i="9" s="1"/>
  <c r="AM28" i="9" s="1"/>
  <c r="X28" i="9" l="1"/>
  <c r="Y28" i="9" s="1"/>
  <c r="AA28" i="9" s="1"/>
  <c r="AC28" i="9" s="1"/>
  <c r="AP28" i="9" s="1"/>
  <c r="M427" i="21"/>
  <c r="N426" i="21"/>
  <c r="V29" i="9" s="1"/>
  <c r="AF29" i="9" s="1"/>
  <c r="AH29" i="9" s="1"/>
  <c r="AI29" i="9" s="1"/>
  <c r="AK29" i="9" s="1"/>
  <c r="AM29" i="9" s="1"/>
  <c r="X29" i="9" l="1"/>
  <c r="Y29" i="9" s="1"/>
  <c r="AA29" i="9" s="1"/>
  <c r="AC29" i="9" s="1"/>
  <c r="AP29" i="9" s="1"/>
  <c r="M428" i="21"/>
  <c r="N427" i="21"/>
  <c r="V30" i="9" s="1"/>
  <c r="AF30" i="9" s="1"/>
  <c r="AH30" i="9" s="1"/>
  <c r="AI30" i="9" s="1"/>
  <c r="AK30" i="9" s="1"/>
  <c r="AM30" i="9" s="1"/>
  <c r="X30" i="9" l="1"/>
  <c r="Y30" i="9" s="1"/>
  <c r="AA30" i="9" s="1"/>
  <c r="AC30" i="9" s="1"/>
  <c r="AP30" i="9" s="1"/>
  <c r="M429" i="21"/>
  <c r="N428" i="21"/>
  <c r="V31" i="9" s="1"/>
  <c r="AF31" i="9" s="1"/>
  <c r="AH31" i="9" s="1"/>
  <c r="AI31" i="9" s="1"/>
  <c r="AK31" i="9" s="1"/>
  <c r="AM31" i="9" s="1"/>
  <c r="X31" i="9" l="1"/>
  <c r="Y31" i="9" s="1"/>
  <c r="AA31" i="9" s="1"/>
  <c r="AC31" i="9" s="1"/>
  <c r="AP31" i="9" s="1"/>
  <c r="N429" i="21"/>
  <c r="V32" i="9" s="1"/>
  <c r="AF32" i="9" s="1"/>
  <c r="AH32" i="9" s="1"/>
  <c r="AI32" i="9" s="1"/>
  <c r="AK32" i="9" s="1"/>
  <c r="AM32" i="9" s="1"/>
  <c r="X32" i="9" l="1"/>
  <c r="Y32" i="9" s="1"/>
  <c r="AA32" i="9" s="1"/>
  <c r="AC32" i="9" s="1"/>
  <c r="AP32" i="9" s="1"/>
  <c r="V33" i="9"/>
  <c r="AF33" i="9" s="1"/>
  <c r="AH33" i="9" s="1"/>
  <c r="AI33" i="9" s="1"/>
  <c r="AK33" i="9" s="1"/>
  <c r="AM33" i="9" s="1"/>
  <c r="X33" i="9" l="1"/>
  <c r="Y33" i="9" s="1"/>
  <c r="AA33" i="9" s="1"/>
  <c r="AC33" i="9" s="1"/>
  <c r="AP33" i="9" s="1"/>
  <c r="V34" i="9"/>
  <c r="AF34" i="9" s="1"/>
  <c r="AH34" i="9" s="1"/>
  <c r="AI34" i="9" s="1"/>
  <c r="AK34" i="9" s="1"/>
  <c r="AM34" i="9" s="1"/>
  <c r="X34" i="9" l="1"/>
  <c r="Y34" i="9" s="1"/>
  <c r="AA34" i="9" s="1"/>
  <c r="AC34" i="9" s="1"/>
  <c r="AP34" i="9" s="1"/>
  <c r="V35" i="9"/>
  <c r="AF35" i="9" s="1"/>
  <c r="AH35" i="9" s="1"/>
  <c r="AI35" i="9" s="1"/>
  <c r="AK35" i="9" s="1"/>
  <c r="AM35" i="9" s="1"/>
  <c r="X35" i="9" l="1"/>
  <c r="Y35" i="9" s="1"/>
  <c r="AA35" i="9" s="1"/>
  <c r="AC35" i="9" s="1"/>
  <c r="AP35" i="9" s="1"/>
  <c r="V36" i="9"/>
  <c r="AF36" i="9" s="1"/>
  <c r="AH36" i="9" s="1"/>
  <c r="AI36" i="9" s="1"/>
  <c r="AK36" i="9" s="1"/>
  <c r="AM36" i="9" s="1"/>
  <c r="X36" i="9" l="1"/>
  <c r="Y36" i="9" s="1"/>
  <c r="AA36" i="9" s="1"/>
  <c r="AC36" i="9" s="1"/>
  <c r="AP36" i="9" s="1"/>
  <c r="V37" i="9"/>
  <c r="AF37" i="9" s="1"/>
  <c r="AH37" i="9" s="1"/>
  <c r="AI37" i="9" s="1"/>
  <c r="AK37" i="9" s="1"/>
  <c r="AM37" i="9" s="1"/>
  <c r="X37" i="9" l="1"/>
  <c r="Y37" i="9" s="1"/>
  <c r="AA37" i="9" s="1"/>
  <c r="AC37" i="9" s="1"/>
  <c r="AP37" i="9" s="1"/>
  <c r="V38" i="9"/>
  <c r="AF38" i="9" s="1"/>
  <c r="AH38" i="9" s="1"/>
  <c r="AI38" i="9" s="1"/>
  <c r="AK38" i="9" s="1"/>
  <c r="AM38" i="9" s="1"/>
  <c r="X38" i="9" l="1"/>
  <c r="Y38" i="9" s="1"/>
  <c r="AA38" i="9" s="1"/>
  <c r="AC38" i="9" s="1"/>
  <c r="AP38" i="9" s="1"/>
  <c r="V39" i="9"/>
  <c r="AF39" i="9" s="1"/>
  <c r="AH39" i="9" s="1"/>
  <c r="AI39" i="9" s="1"/>
  <c r="AK39" i="9" s="1"/>
  <c r="AM39" i="9" s="1"/>
  <c r="X39" i="9" l="1"/>
  <c r="Y39" i="9" s="1"/>
  <c r="AA39" i="9" s="1"/>
  <c r="AC39" i="9" s="1"/>
  <c r="AP39" i="9" s="1"/>
  <c r="V40" i="9"/>
  <c r="AF40" i="9" s="1"/>
  <c r="AH40" i="9" s="1"/>
  <c r="AI40" i="9" s="1"/>
  <c r="AK40" i="9" s="1"/>
  <c r="AM40" i="9" s="1"/>
  <c r="X40" i="9" l="1"/>
  <c r="Y40" i="9" s="1"/>
  <c r="AA40" i="9" s="1"/>
  <c r="AC40" i="9" s="1"/>
  <c r="AP40" i="9" s="1"/>
  <c r="V41" i="9"/>
  <c r="AF41" i="9" s="1"/>
  <c r="AH41" i="9" s="1"/>
  <c r="AI41" i="9" s="1"/>
  <c r="AK41" i="9" s="1"/>
  <c r="AM41" i="9" s="1"/>
  <c r="X41" i="9" l="1"/>
  <c r="Y41" i="9" s="1"/>
  <c r="AA41" i="9" s="1"/>
  <c r="AC41" i="9" s="1"/>
  <c r="AP41" i="9" s="1"/>
  <c r="V42" i="9"/>
  <c r="AF42" i="9" s="1"/>
  <c r="AH42" i="9" s="1"/>
  <c r="AI42" i="9" s="1"/>
  <c r="AK42" i="9" s="1"/>
  <c r="AM42" i="9" s="1"/>
  <c r="X42" i="9" l="1"/>
  <c r="Y42" i="9" s="1"/>
  <c r="AA42" i="9" s="1"/>
  <c r="AC42" i="9" s="1"/>
  <c r="AP42" i="9" s="1"/>
  <c r="V43" i="9"/>
  <c r="AF43" i="9" s="1"/>
  <c r="AH43" i="9" s="1"/>
  <c r="AI43" i="9" s="1"/>
  <c r="AK43" i="9" s="1"/>
  <c r="AM43" i="9" s="1"/>
  <c r="X43" i="9" l="1"/>
  <c r="Y43" i="9" s="1"/>
  <c r="AA43" i="9" s="1"/>
  <c r="AC43" i="9" s="1"/>
  <c r="AP43" i="9" s="1"/>
  <c r="V44" i="9"/>
  <c r="AF44" i="9" s="1"/>
  <c r="AH44" i="9" s="1"/>
  <c r="AI44" i="9" s="1"/>
  <c r="AK44" i="9" s="1"/>
  <c r="AM44" i="9" s="1"/>
  <c r="X44" i="9" l="1"/>
  <c r="Y44" i="9" s="1"/>
  <c r="AA44" i="9" s="1"/>
  <c r="AC44" i="9" s="1"/>
  <c r="AP44" i="9" s="1"/>
  <c r="V45" i="9"/>
  <c r="AF45" i="9" s="1"/>
  <c r="AH45" i="9" s="1"/>
  <c r="AI45" i="9" s="1"/>
  <c r="AK45" i="9" s="1"/>
  <c r="AM45" i="9" s="1"/>
  <c r="X45" i="9" l="1"/>
  <c r="Y45" i="9" s="1"/>
  <c r="AA45" i="9" s="1"/>
  <c r="AC45" i="9" s="1"/>
  <c r="AP45" i="9" s="1"/>
  <c r="V46" i="9"/>
  <c r="AF46" i="9" s="1"/>
  <c r="AH46" i="9" s="1"/>
  <c r="AI46" i="9" s="1"/>
  <c r="AK46" i="9" s="1"/>
  <c r="AM46" i="9" s="1"/>
  <c r="C82" i="19"/>
  <c r="C78" i="19"/>
  <c r="B69" i="19"/>
  <c r="C66" i="19" s="1"/>
  <c r="C62" i="19"/>
  <c r="C54" i="19"/>
  <c r="C47" i="19"/>
  <c r="C30" i="19"/>
  <c r="D29" i="19"/>
  <c r="E29" i="19" s="1"/>
  <c r="F29" i="19" s="1"/>
  <c r="G29" i="19" s="1"/>
  <c r="H29" i="19" s="1"/>
  <c r="I29" i="19" s="1"/>
  <c r="J29" i="19" s="1"/>
  <c r="K29" i="19" s="1"/>
  <c r="L29" i="19" s="1"/>
  <c r="M29" i="19" s="1"/>
  <c r="N29" i="19" s="1"/>
  <c r="O29" i="19" s="1"/>
  <c r="P29" i="19" s="1"/>
  <c r="Q29" i="19" s="1"/>
  <c r="R29" i="19" s="1"/>
  <c r="S29" i="19" s="1"/>
  <c r="T29" i="19" s="1"/>
  <c r="U29" i="19" s="1"/>
  <c r="V29" i="19" s="1"/>
  <c r="W29" i="19" s="1"/>
  <c r="X29" i="19" s="1"/>
  <c r="Y29" i="19" s="1"/>
  <c r="Z29" i="19" s="1"/>
  <c r="AA29" i="19" s="1"/>
  <c r="AB29" i="19" s="1"/>
  <c r="AC29" i="19" s="1"/>
  <c r="AD29" i="19" s="1"/>
  <c r="AE29" i="19" s="1"/>
  <c r="AF29" i="19" s="1"/>
  <c r="AG29" i="19" s="1"/>
  <c r="AH29" i="19" s="1"/>
  <c r="AI29" i="19" s="1"/>
  <c r="AJ29" i="19" s="1"/>
  <c r="AK29" i="19" s="1"/>
  <c r="AL29" i="19" s="1"/>
  <c r="AM29" i="19" s="1"/>
  <c r="AN29" i="19" s="1"/>
  <c r="AO29" i="19" s="1"/>
  <c r="AP29" i="19" s="1"/>
  <c r="AQ29" i="19" s="1"/>
  <c r="AR29" i="19" s="1"/>
  <c r="AS29" i="19" s="1"/>
  <c r="AT29" i="19" s="1"/>
  <c r="AU29" i="19" s="1"/>
  <c r="C27" i="19"/>
  <c r="D26" i="19"/>
  <c r="E26" i="19" s="1"/>
  <c r="F26" i="19" s="1"/>
  <c r="G26" i="19" s="1"/>
  <c r="H26" i="19" s="1"/>
  <c r="I26" i="19" s="1"/>
  <c r="J26" i="19" s="1"/>
  <c r="K26" i="19" s="1"/>
  <c r="L26" i="19" s="1"/>
  <c r="M26" i="19" s="1"/>
  <c r="N26" i="19" s="1"/>
  <c r="O26" i="19" s="1"/>
  <c r="P26" i="19" s="1"/>
  <c r="Q26" i="19" s="1"/>
  <c r="R26" i="19" s="1"/>
  <c r="S26" i="19" s="1"/>
  <c r="T26" i="19" s="1"/>
  <c r="U26" i="19" s="1"/>
  <c r="V26" i="19" s="1"/>
  <c r="W26" i="19" s="1"/>
  <c r="X26" i="19" s="1"/>
  <c r="Y26" i="19" s="1"/>
  <c r="Z26" i="19" s="1"/>
  <c r="AA26" i="19" s="1"/>
  <c r="AB26" i="19" s="1"/>
  <c r="AC26" i="19" s="1"/>
  <c r="AD26" i="19" s="1"/>
  <c r="AE26" i="19" s="1"/>
  <c r="AF26" i="19" s="1"/>
  <c r="AG26" i="19" s="1"/>
  <c r="AH26" i="19" s="1"/>
  <c r="AI26" i="19" s="1"/>
  <c r="AJ26" i="19" s="1"/>
  <c r="AK26" i="19" s="1"/>
  <c r="AL26" i="19" s="1"/>
  <c r="AM26" i="19" s="1"/>
  <c r="AN26" i="19" s="1"/>
  <c r="AO26" i="19" s="1"/>
  <c r="AP26" i="19" s="1"/>
  <c r="AQ26" i="19" s="1"/>
  <c r="AR26" i="19" s="1"/>
  <c r="AS26" i="19" s="1"/>
  <c r="AT26" i="19" s="1"/>
  <c r="AU26" i="19" s="1"/>
  <c r="D25" i="19"/>
  <c r="E25" i="19" s="1"/>
  <c r="F25" i="19" s="1"/>
  <c r="G25" i="19" s="1"/>
  <c r="H25" i="19" s="1"/>
  <c r="I25" i="19" s="1"/>
  <c r="J25" i="19" s="1"/>
  <c r="K25" i="19" s="1"/>
  <c r="L25" i="19" s="1"/>
  <c r="M25" i="19" s="1"/>
  <c r="N25" i="19" s="1"/>
  <c r="O25" i="19" s="1"/>
  <c r="P25" i="19" s="1"/>
  <c r="Q25" i="19" s="1"/>
  <c r="R25" i="19" s="1"/>
  <c r="S25" i="19" s="1"/>
  <c r="T25" i="19" s="1"/>
  <c r="U25" i="19" s="1"/>
  <c r="V25" i="19" s="1"/>
  <c r="W25" i="19" s="1"/>
  <c r="X25" i="19" s="1"/>
  <c r="Y25" i="19" s="1"/>
  <c r="Z25" i="19" s="1"/>
  <c r="AA25" i="19" s="1"/>
  <c r="AB25" i="19" s="1"/>
  <c r="AC25" i="19" s="1"/>
  <c r="AD25" i="19" s="1"/>
  <c r="AE25" i="19" s="1"/>
  <c r="AF25" i="19" s="1"/>
  <c r="AG25" i="19" s="1"/>
  <c r="AH25" i="19" s="1"/>
  <c r="AI25" i="19" s="1"/>
  <c r="AJ25" i="19" s="1"/>
  <c r="AK25" i="19" s="1"/>
  <c r="AL25" i="19" s="1"/>
  <c r="AM25" i="19" s="1"/>
  <c r="AN25" i="19" s="1"/>
  <c r="AO25" i="19" s="1"/>
  <c r="AP25" i="19" s="1"/>
  <c r="AQ25" i="19" s="1"/>
  <c r="AR25" i="19" s="1"/>
  <c r="AS25" i="19" s="1"/>
  <c r="AT25" i="19" s="1"/>
  <c r="AU25" i="19" s="1"/>
  <c r="D24" i="19"/>
  <c r="E24" i="19" s="1"/>
  <c r="F24" i="19" s="1"/>
  <c r="G24" i="19" s="1"/>
  <c r="H24" i="19" s="1"/>
  <c r="I24" i="19" s="1"/>
  <c r="J24" i="19" s="1"/>
  <c r="K24" i="19" s="1"/>
  <c r="L24" i="19" s="1"/>
  <c r="M24" i="19" s="1"/>
  <c r="N24" i="19" s="1"/>
  <c r="O24" i="19" s="1"/>
  <c r="P24" i="19" s="1"/>
  <c r="Q24" i="19" s="1"/>
  <c r="R24" i="19" s="1"/>
  <c r="S24" i="19" s="1"/>
  <c r="T24" i="19" s="1"/>
  <c r="U24" i="19" s="1"/>
  <c r="V24" i="19" s="1"/>
  <c r="W24" i="19" s="1"/>
  <c r="X24" i="19" s="1"/>
  <c r="Y24" i="19" s="1"/>
  <c r="Z24" i="19" s="1"/>
  <c r="AA24" i="19" s="1"/>
  <c r="AB24" i="19" s="1"/>
  <c r="AC24" i="19" s="1"/>
  <c r="AD24" i="19" s="1"/>
  <c r="AE24" i="19" s="1"/>
  <c r="AF24" i="19" s="1"/>
  <c r="AG24" i="19" s="1"/>
  <c r="AH24" i="19" s="1"/>
  <c r="AI24" i="19" s="1"/>
  <c r="AJ24" i="19" s="1"/>
  <c r="AK24" i="19" s="1"/>
  <c r="AL24" i="19" s="1"/>
  <c r="AM24" i="19" s="1"/>
  <c r="AN24" i="19" s="1"/>
  <c r="AO24" i="19" s="1"/>
  <c r="AP24" i="19" s="1"/>
  <c r="AQ24" i="19" s="1"/>
  <c r="AR24" i="19" s="1"/>
  <c r="AS24" i="19" s="1"/>
  <c r="AT24" i="19" s="1"/>
  <c r="AU24" i="19" s="1"/>
  <c r="D23" i="19"/>
  <c r="E23" i="19" s="1"/>
  <c r="F23" i="19" s="1"/>
  <c r="G23" i="19" s="1"/>
  <c r="H23" i="19" s="1"/>
  <c r="I23" i="19" s="1"/>
  <c r="J23" i="19" s="1"/>
  <c r="K23" i="19" s="1"/>
  <c r="L23" i="19" s="1"/>
  <c r="M23" i="19" s="1"/>
  <c r="N23" i="19" s="1"/>
  <c r="O23" i="19" s="1"/>
  <c r="P23" i="19" s="1"/>
  <c r="Q23" i="19" s="1"/>
  <c r="R23" i="19" s="1"/>
  <c r="S23" i="19" s="1"/>
  <c r="T23" i="19" s="1"/>
  <c r="U23" i="19" s="1"/>
  <c r="V23" i="19" s="1"/>
  <c r="W23" i="19" s="1"/>
  <c r="X23" i="19" s="1"/>
  <c r="Y23" i="19" s="1"/>
  <c r="Z23" i="19" s="1"/>
  <c r="AA23" i="19" s="1"/>
  <c r="AB23" i="19" s="1"/>
  <c r="AC23" i="19" s="1"/>
  <c r="AD23" i="19" s="1"/>
  <c r="AE23" i="19" s="1"/>
  <c r="AF23" i="19" s="1"/>
  <c r="AG23" i="19" s="1"/>
  <c r="AH23" i="19" s="1"/>
  <c r="AI23" i="19" s="1"/>
  <c r="AJ23" i="19" s="1"/>
  <c r="AK23" i="19" s="1"/>
  <c r="AL23" i="19" s="1"/>
  <c r="AM23" i="19" s="1"/>
  <c r="AN23" i="19" s="1"/>
  <c r="AO23" i="19" s="1"/>
  <c r="AP23" i="19" s="1"/>
  <c r="AQ23" i="19" s="1"/>
  <c r="AR23" i="19" s="1"/>
  <c r="AS23" i="19" s="1"/>
  <c r="AT23" i="19" s="1"/>
  <c r="AU23" i="19" s="1"/>
  <c r="D22" i="19"/>
  <c r="E22" i="19" s="1"/>
  <c r="F22" i="19" s="1"/>
  <c r="G22" i="19" s="1"/>
  <c r="H22" i="19" s="1"/>
  <c r="I22" i="19" s="1"/>
  <c r="J22" i="19" s="1"/>
  <c r="K22" i="19" s="1"/>
  <c r="L22" i="19" s="1"/>
  <c r="M22" i="19" s="1"/>
  <c r="N22" i="19" s="1"/>
  <c r="O22" i="19" s="1"/>
  <c r="P22" i="19" s="1"/>
  <c r="Q22" i="19" s="1"/>
  <c r="R22" i="19" s="1"/>
  <c r="S22" i="19" s="1"/>
  <c r="T22" i="19" s="1"/>
  <c r="U22" i="19" s="1"/>
  <c r="V22" i="19" s="1"/>
  <c r="W22" i="19" s="1"/>
  <c r="X22" i="19" s="1"/>
  <c r="Y22" i="19" s="1"/>
  <c r="Z22" i="19" s="1"/>
  <c r="AA22" i="19" s="1"/>
  <c r="AB22" i="19" s="1"/>
  <c r="AC22" i="19" s="1"/>
  <c r="AD22" i="19" s="1"/>
  <c r="AE22" i="19" s="1"/>
  <c r="AF22" i="19" s="1"/>
  <c r="AG22" i="19" s="1"/>
  <c r="AH22" i="19" s="1"/>
  <c r="AI22" i="19" s="1"/>
  <c r="AJ22" i="19" s="1"/>
  <c r="AK22" i="19" s="1"/>
  <c r="AL22" i="19" s="1"/>
  <c r="AM22" i="19" s="1"/>
  <c r="AN22" i="19" s="1"/>
  <c r="AO22" i="19" s="1"/>
  <c r="AP22" i="19" s="1"/>
  <c r="AQ22" i="19" s="1"/>
  <c r="AR22" i="19" s="1"/>
  <c r="AS22" i="19" s="1"/>
  <c r="AT22" i="19" s="1"/>
  <c r="AU22" i="19" s="1"/>
  <c r="D21" i="19"/>
  <c r="E21" i="19" s="1"/>
  <c r="D19" i="19"/>
  <c r="D62" i="19" s="1"/>
  <c r="D17" i="19"/>
  <c r="E17" i="19" s="1"/>
  <c r="F17" i="19" s="1"/>
  <c r="G17" i="19" s="1"/>
  <c r="H17" i="19" s="1"/>
  <c r="I17" i="19" s="1"/>
  <c r="J17" i="19" s="1"/>
  <c r="K17" i="19" s="1"/>
  <c r="L17" i="19" s="1"/>
  <c r="M17" i="19" s="1"/>
  <c r="N17" i="19" s="1"/>
  <c r="O17" i="19" s="1"/>
  <c r="P17" i="19" s="1"/>
  <c r="Q17" i="19" s="1"/>
  <c r="R17" i="19" s="1"/>
  <c r="S17" i="19" s="1"/>
  <c r="T17" i="19" s="1"/>
  <c r="U17" i="19" s="1"/>
  <c r="V17" i="19" s="1"/>
  <c r="W17" i="19" s="1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AJ17" i="19" s="1"/>
  <c r="AK17" i="19" s="1"/>
  <c r="AL17" i="19" s="1"/>
  <c r="AM17" i="19" s="1"/>
  <c r="AN17" i="19" s="1"/>
  <c r="AO17" i="19" s="1"/>
  <c r="AP17" i="19" s="1"/>
  <c r="AQ17" i="19" s="1"/>
  <c r="AR17" i="19" s="1"/>
  <c r="AS17" i="19" s="1"/>
  <c r="AT17" i="19" s="1"/>
  <c r="AU17" i="19" s="1"/>
  <c r="D16" i="19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D14" i="19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W14" i="19" s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AL14" i="19" s="1"/>
  <c r="AM14" i="19" s="1"/>
  <c r="AN14" i="19" s="1"/>
  <c r="AO14" i="19" s="1"/>
  <c r="AP14" i="19" s="1"/>
  <c r="AQ14" i="19" s="1"/>
  <c r="AR14" i="19" s="1"/>
  <c r="AS14" i="19" s="1"/>
  <c r="AT14" i="19" s="1"/>
  <c r="AU14" i="19" s="1"/>
  <c r="D12" i="19"/>
  <c r="E12" i="19" s="1"/>
  <c r="F12" i="19" s="1"/>
  <c r="G12" i="19" s="1"/>
  <c r="H12" i="19" s="1"/>
  <c r="I12" i="19" s="1"/>
  <c r="J12" i="19" s="1"/>
  <c r="K12" i="19" s="1"/>
  <c r="L12" i="19" s="1"/>
  <c r="M12" i="19" s="1"/>
  <c r="N12" i="19" s="1"/>
  <c r="O12" i="19" s="1"/>
  <c r="P12" i="19" s="1"/>
  <c r="Q12" i="19" s="1"/>
  <c r="R12" i="19" s="1"/>
  <c r="S12" i="19" s="1"/>
  <c r="T12" i="19" s="1"/>
  <c r="U12" i="19" s="1"/>
  <c r="V12" i="19" s="1"/>
  <c r="W12" i="19" s="1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AL12" i="19" s="1"/>
  <c r="AM12" i="19" s="1"/>
  <c r="AN12" i="19" s="1"/>
  <c r="AO12" i="19" s="1"/>
  <c r="AP12" i="19" s="1"/>
  <c r="AQ12" i="19" s="1"/>
  <c r="AR12" i="19" s="1"/>
  <c r="AS12" i="19" s="1"/>
  <c r="AT12" i="19" s="1"/>
  <c r="AU12" i="19" s="1"/>
  <c r="D11" i="19"/>
  <c r="E11" i="19" s="1"/>
  <c r="F11" i="19" s="1"/>
  <c r="G11" i="19" s="1"/>
  <c r="H11" i="19" s="1"/>
  <c r="I11" i="19" s="1"/>
  <c r="J11" i="19" s="1"/>
  <c r="K11" i="19" s="1"/>
  <c r="L11" i="19" s="1"/>
  <c r="M11" i="19" s="1"/>
  <c r="N11" i="19" s="1"/>
  <c r="O11" i="19" s="1"/>
  <c r="P11" i="19" s="1"/>
  <c r="Q11" i="19" s="1"/>
  <c r="R11" i="19" s="1"/>
  <c r="S11" i="19" s="1"/>
  <c r="T11" i="19" s="1"/>
  <c r="U11" i="19" s="1"/>
  <c r="V11" i="19" s="1"/>
  <c r="W11" i="19" s="1"/>
  <c r="X11" i="19" s="1"/>
  <c r="Y11" i="19" s="1"/>
  <c r="Z11" i="19" s="1"/>
  <c r="AA11" i="19" s="1"/>
  <c r="AB11" i="19" s="1"/>
  <c r="AC11" i="19" s="1"/>
  <c r="AD11" i="19" s="1"/>
  <c r="AE11" i="19" s="1"/>
  <c r="AF11" i="19" s="1"/>
  <c r="AG11" i="19" s="1"/>
  <c r="AH11" i="19" s="1"/>
  <c r="AI11" i="19" s="1"/>
  <c r="AJ11" i="19" s="1"/>
  <c r="AK11" i="19" s="1"/>
  <c r="AL11" i="19" s="1"/>
  <c r="AM11" i="19" s="1"/>
  <c r="AN11" i="19" s="1"/>
  <c r="AO11" i="19" s="1"/>
  <c r="AP11" i="19" s="1"/>
  <c r="AQ11" i="19" s="1"/>
  <c r="AR11" i="19" s="1"/>
  <c r="AS11" i="19" s="1"/>
  <c r="AT11" i="19" s="1"/>
  <c r="AU11" i="19" s="1"/>
  <c r="D10" i="19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C3" i="19"/>
  <c r="D2" i="19"/>
  <c r="D38" i="19" s="1"/>
  <c r="D15" i="19" l="1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K15" i="19" s="1"/>
  <c r="AL15" i="19" s="1"/>
  <c r="AM15" i="19" s="1"/>
  <c r="AN15" i="19" s="1"/>
  <c r="AO15" i="19" s="1"/>
  <c r="AP15" i="19" s="1"/>
  <c r="AQ15" i="19" s="1"/>
  <c r="AR15" i="19" s="1"/>
  <c r="AS15" i="19" s="1"/>
  <c r="AT15" i="19" s="1"/>
  <c r="AU15" i="19" s="1"/>
  <c r="X46" i="9"/>
  <c r="Y46" i="9" s="1"/>
  <c r="AA46" i="9" s="1"/>
  <c r="AC46" i="9" s="1"/>
  <c r="AP46" i="9" s="1"/>
  <c r="V47" i="9"/>
  <c r="AF47" i="9" s="1"/>
  <c r="AH47" i="9" s="1"/>
  <c r="AI47" i="9" s="1"/>
  <c r="AK47" i="9" s="1"/>
  <c r="AM47" i="9" s="1"/>
  <c r="D78" i="19"/>
  <c r="D54" i="19"/>
  <c r="D47" i="19"/>
  <c r="D7" i="19"/>
  <c r="D82" i="19" s="1"/>
  <c r="D30" i="19"/>
  <c r="E2" i="19"/>
  <c r="E38" i="19" s="1"/>
  <c r="E27" i="19"/>
  <c r="F21" i="19"/>
  <c r="C79" i="19"/>
  <c r="C55" i="19"/>
  <c r="C48" i="19"/>
  <c r="C31" i="19"/>
  <c r="D3" i="19"/>
  <c r="D27" i="19"/>
  <c r="E19" i="19"/>
  <c r="X47" i="9" l="1"/>
  <c r="Y47" i="9" s="1"/>
  <c r="AA47" i="9" s="1"/>
  <c r="AC47" i="9" s="1"/>
  <c r="AP47" i="9" s="1"/>
  <c r="V48" i="9"/>
  <c r="AF48" i="9" s="1"/>
  <c r="AH48" i="9" s="1"/>
  <c r="AI48" i="9" s="1"/>
  <c r="AK48" i="9" s="1"/>
  <c r="AM48" i="9" s="1"/>
  <c r="E62" i="19"/>
  <c r="F19" i="19"/>
  <c r="F27" i="19"/>
  <c r="G21" i="19"/>
  <c r="D79" i="19"/>
  <c r="D55" i="19"/>
  <c r="D31" i="19"/>
  <c r="D48" i="19"/>
  <c r="E3" i="19"/>
  <c r="E78" i="19"/>
  <c r="E54" i="19"/>
  <c r="E47" i="19"/>
  <c r="E30" i="19"/>
  <c r="F2" i="19"/>
  <c r="F38" i="19" s="1"/>
  <c r="E7" i="19"/>
  <c r="E82" i="19" s="1"/>
  <c r="X48" i="9" l="1"/>
  <c r="Y48" i="9" s="1"/>
  <c r="AA48" i="9" s="1"/>
  <c r="AC48" i="9" s="1"/>
  <c r="AP48" i="9" s="1"/>
  <c r="V49" i="9"/>
  <c r="AF49" i="9" s="1"/>
  <c r="AH49" i="9" s="1"/>
  <c r="AI49" i="9" s="1"/>
  <c r="AK49" i="9" s="1"/>
  <c r="AM49" i="9" s="1"/>
  <c r="F78" i="19"/>
  <c r="F54" i="19"/>
  <c r="F47" i="19"/>
  <c r="F30" i="19"/>
  <c r="G2" i="19"/>
  <c r="G38" i="19" s="1"/>
  <c r="F7" i="19"/>
  <c r="F82" i="19" s="1"/>
  <c r="G27" i="19"/>
  <c r="H21" i="19"/>
  <c r="E79" i="19"/>
  <c r="E55" i="19"/>
  <c r="E31" i="19"/>
  <c r="E48" i="19"/>
  <c r="F3" i="19"/>
  <c r="F62" i="19"/>
  <c r="G19" i="19"/>
  <c r="X49" i="9" l="1"/>
  <c r="Y49" i="9" s="1"/>
  <c r="AA49" i="9" s="1"/>
  <c r="AC49" i="9" s="1"/>
  <c r="AP49" i="9" s="1"/>
  <c r="V50" i="9"/>
  <c r="AF50" i="9" s="1"/>
  <c r="AH50" i="9" s="1"/>
  <c r="AI50" i="9" s="1"/>
  <c r="AK50" i="9" s="1"/>
  <c r="AM50" i="9" s="1"/>
  <c r="G62" i="19"/>
  <c r="H19" i="19"/>
  <c r="I21" i="19"/>
  <c r="H27" i="19"/>
  <c r="F79" i="19"/>
  <c r="F48" i="19"/>
  <c r="F55" i="19"/>
  <c r="F31" i="19"/>
  <c r="G3" i="19"/>
  <c r="G78" i="19"/>
  <c r="G54" i="19"/>
  <c r="G47" i="19"/>
  <c r="G30" i="19"/>
  <c r="G7" i="19"/>
  <c r="G82" i="19" s="1"/>
  <c r="H2" i="19"/>
  <c r="H38" i="19" s="1"/>
  <c r="X50" i="9" l="1"/>
  <c r="Y50" i="9" s="1"/>
  <c r="AA50" i="9" s="1"/>
  <c r="AC50" i="9" s="1"/>
  <c r="AP50" i="9" s="1"/>
  <c r="V51" i="9"/>
  <c r="AF51" i="9" s="1"/>
  <c r="AH51" i="9" s="1"/>
  <c r="AI51" i="9" s="1"/>
  <c r="AK51" i="9" s="1"/>
  <c r="AM51" i="9" s="1"/>
  <c r="H78" i="19"/>
  <c r="H54" i="19"/>
  <c r="H47" i="19"/>
  <c r="H7" i="19"/>
  <c r="H82" i="19" s="1"/>
  <c r="H30" i="19"/>
  <c r="I2" i="19"/>
  <c r="I38" i="19" s="1"/>
  <c r="I27" i="19"/>
  <c r="J21" i="19"/>
  <c r="H62" i="19"/>
  <c r="I19" i="19"/>
  <c r="G79" i="19"/>
  <c r="G55" i="19"/>
  <c r="G48" i="19"/>
  <c r="G31" i="19"/>
  <c r="H3" i="19"/>
  <c r="X51" i="9" l="1"/>
  <c r="Y51" i="9" s="1"/>
  <c r="AA51" i="9" s="1"/>
  <c r="AC51" i="9" s="1"/>
  <c r="AP51" i="9" s="1"/>
  <c r="V52" i="9"/>
  <c r="AF52" i="9" s="1"/>
  <c r="AH52" i="9" s="1"/>
  <c r="AI52" i="9" s="1"/>
  <c r="AK52" i="9" s="1"/>
  <c r="AM52" i="9" s="1"/>
  <c r="H79" i="19"/>
  <c r="H55" i="19"/>
  <c r="H48" i="19"/>
  <c r="H31" i="19"/>
  <c r="I3" i="19"/>
  <c r="I62" i="19"/>
  <c r="J19" i="19"/>
  <c r="J27" i="19"/>
  <c r="K21" i="19"/>
  <c r="I78" i="19"/>
  <c r="I54" i="19"/>
  <c r="I47" i="19"/>
  <c r="I30" i="19"/>
  <c r="I7" i="19"/>
  <c r="I82" i="19" s="1"/>
  <c r="J2" i="19"/>
  <c r="J38" i="19" s="1"/>
  <c r="X52" i="9" l="1"/>
  <c r="Y52" i="9" s="1"/>
  <c r="AA52" i="9" s="1"/>
  <c r="AC52" i="9" s="1"/>
  <c r="AP52" i="9" s="1"/>
  <c r="V53" i="9"/>
  <c r="AF53" i="9" s="1"/>
  <c r="AH53" i="9" s="1"/>
  <c r="AI53" i="9" s="1"/>
  <c r="AK53" i="9" s="1"/>
  <c r="AM53" i="9" s="1"/>
  <c r="I79" i="19"/>
  <c r="I55" i="19"/>
  <c r="I48" i="19"/>
  <c r="I31" i="19"/>
  <c r="J3" i="19"/>
  <c r="K27" i="19"/>
  <c r="L21" i="19"/>
  <c r="J78" i="19"/>
  <c r="J54" i="19"/>
  <c r="J47" i="19"/>
  <c r="J30" i="19"/>
  <c r="K2" i="19"/>
  <c r="K38" i="19" s="1"/>
  <c r="J7" i="19"/>
  <c r="J82" i="19" s="1"/>
  <c r="J62" i="19"/>
  <c r="K19" i="19"/>
  <c r="X53" i="9" l="1"/>
  <c r="Y53" i="9" s="1"/>
  <c r="AA53" i="9" s="1"/>
  <c r="AC53" i="9" s="1"/>
  <c r="K78" i="19"/>
  <c r="K54" i="19"/>
  <c r="K47" i="19"/>
  <c r="K30" i="19"/>
  <c r="K7" i="19"/>
  <c r="K82" i="19" s="1"/>
  <c r="L2" i="19"/>
  <c r="L38" i="19" s="1"/>
  <c r="K62" i="19"/>
  <c r="L19" i="19"/>
  <c r="L27" i="19"/>
  <c r="M21" i="19"/>
  <c r="J79" i="19"/>
  <c r="J48" i="19"/>
  <c r="J55" i="19"/>
  <c r="J31" i="19"/>
  <c r="K3" i="19"/>
  <c r="AP53" i="9" l="1"/>
  <c r="L62" i="19"/>
  <c r="M19" i="19"/>
  <c r="K79" i="19"/>
  <c r="K55" i="19"/>
  <c r="K48" i="19"/>
  <c r="K31" i="19"/>
  <c r="L3" i="19"/>
  <c r="M27" i="19"/>
  <c r="N21" i="19"/>
  <c r="L78" i="19"/>
  <c r="L54" i="19"/>
  <c r="L47" i="19"/>
  <c r="L7" i="19"/>
  <c r="L82" i="19" s="1"/>
  <c r="L30" i="19"/>
  <c r="M2" i="19"/>
  <c r="M38" i="19" s="1"/>
  <c r="M78" i="19" l="1"/>
  <c r="M54" i="19"/>
  <c r="M47" i="19"/>
  <c r="M30" i="19"/>
  <c r="M7" i="19"/>
  <c r="M82" i="19" s="1"/>
  <c r="N2" i="19"/>
  <c r="N38" i="19" s="1"/>
  <c r="N27" i="19"/>
  <c r="O21" i="19"/>
  <c r="L79" i="19"/>
  <c r="L55" i="19"/>
  <c r="L31" i="19"/>
  <c r="L48" i="19"/>
  <c r="M3" i="19"/>
  <c r="M62" i="19"/>
  <c r="N19" i="19"/>
  <c r="M79" i="19" l="1"/>
  <c r="M55" i="19"/>
  <c r="M31" i="19"/>
  <c r="M48" i="19"/>
  <c r="N3" i="19"/>
  <c r="O27" i="19"/>
  <c r="P21" i="19"/>
  <c r="N78" i="19"/>
  <c r="N54" i="19"/>
  <c r="N47" i="19"/>
  <c r="N30" i="19"/>
  <c r="N7" i="19"/>
  <c r="N82" i="19" s="1"/>
  <c r="O2" i="19"/>
  <c r="O38" i="19" s="1"/>
  <c r="N62" i="19"/>
  <c r="O19" i="19"/>
  <c r="O62" i="19" l="1"/>
  <c r="P19" i="19"/>
  <c r="Q21" i="19"/>
  <c r="P27" i="19"/>
  <c r="N79" i="19"/>
  <c r="N48" i="19"/>
  <c r="N55" i="19"/>
  <c r="N31" i="19"/>
  <c r="O3" i="19"/>
  <c r="O78" i="19"/>
  <c r="O54" i="19"/>
  <c r="O47" i="19"/>
  <c r="O30" i="19"/>
  <c r="P2" i="19"/>
  <c r="P38" i="19" s="1"/>
  <c r="O7" i="19"/>
  <c r="O82" i="19" s="1"/>
  <c r="Q27" i="19" l="1"/>
  <c r="R21" i="19"/>
  <c r="P78" i="19"/>
  <c r="P54" i="19"/>
  <c r="P47" i="19"/>
  <c r="P7" i="19"/>
  <c r="P82" i="19" s="1"/>
  <c r="P30" i="19"/>
  <c r="Q2" i="19"/>
  <c r="Q38" i="19" s="1"/>
  <c r="O79" i="19"/>
  <c r="O55" i="19"/>
  <c r="O48" i="19"/>
  <c r="O31" i="19"/>
  <c r="P3" i="19"/>
  <c r="P62" i="19"/>
  <c r="Q19" i="19"/>
  <c r="R27" i="19" l="1"/>
  <c r="S21" i="19"/>
  <c r="P79" i="19"/>
  <c r="P55" i="19"/>
  <c r="P48" i="19"/>
  <c r="P31" i="19"/>
  <c r="Q3" i="19"/>
  <c r="Q78" i="19"/>
  <c r="Q54" i="19"/>
  <c r="Q47" i="19"/>
  <c r="Q30" i="19"/>
  <c r="Q7" i="19"/>
  <c r="Q82" i="19" s="1"/>
  <c r="R2" i="19"/>
  <c r="R38" i="19" s="1"/>
  <c r="Q62" i="19"/>
  <c r="R19" i="19"/>
  <c r="R62" i="19" l="1"/>
  <c r="S19" i="19"/>
  <c r="R78" i="19"/>
  <c r="R47" i="19"/>
  <c r="R54" i="19"/>
  <c r="R30" i="19"/>
  <c r="R7" i="19"/>
  <c r="R82" i="19" s="1"/>
  <c r="S2" i="19"/>
  <c r="S38" i="19" s="1"/>
  <c r="S27" i="19"/>
  <c r="T21" i="19"/>
  <c r="Q79" i="19"/>
  <c r="Q55" i="19"/>
  <c r="Q48" i="19"/>
  <c r="Q31" i="19"/>
  <c r="R3" i="19"/>
  <c r="R79" i="19" l="1"/>
  <c r="R48" i="19"/>
  <c r="R55" i="19"/>
  <c r="R31" i="19"/>
  <c r="S3" i="19"/>
  <c r="T27" i="19"/>
  <c r="U21" i="19"/>
  <c r="S62" i="19"/>
  <c r="T19" i="19"/>
  <c r="S78" i="19"/>
  <c r="S54" i="19"/>
  <c r="S47" i="19"/>
  <c r="S30" i="19"/>
  <c r="T2" i="19"/>
  <c r="T38" i="19" s="1"/>
  <c r="S7" i="19"/>
  <c r="S82" i="19" s="1"/>
  <c r="S79" i="19" l="1"/>
  <c r="S55" i="19"/>
  <c r="S48" i="19"/>
  <c r="S31" i="19"/>
  <c r="T3" i="19"/>
  <c r="U27" i="19"/>
  <c r="V21" i="19"/>
  <c r="T78" i="19"/>
  <c r="T54" i="19"/>
  <c r="T47" i="19"/>
  <c r="T7" i="19"/>
  <c r="T82" i="19" s="1"/>
  <c r="T30" i="19"/>
  <c r="U2" i="19"/>
  <c r="U38" i="19" s="1"/>
  <c r="T62" i="19"/>
  <c r="U19" i="19"/>
  <c r="U78" i="19" l="1"/>
  <c r="U54" i="19"/>
  <c r="U47" i="19"/>
  <c r="U30" i="19"/>
  <c r="V2" i="19"/>
  <c r="V38" i="19" s="1"/>
  <c r="U7" i="19"/>
  <c r="U82" i="19" s="1"/>
  <c r="V27" i="19"/>
  <c r="W21" i="19"/>
  <c r="U62" i="19"/>
  <c r="V19" i="19"/>
  <c r="T79" i="19"/>
  <c r="T55" i="19"/>
  <c r="T31" i="19"/>
  <c r="T48" i="19"/>
  <c r="U3" i="19"/>
  <c r="U79" i="19" l="1"/>
  <c r="U55" i="19"/>
  <c r="U31" i="19"/>
  <c r="U48" i="19"/>
  <c r="V3" i="19"/>
  <c r="V62" i="19"/>
  <c r="W19" i="19"/>
  <c r="V78" i="19"/>
  <c r="V47" i="19"/>
  <c r="V54" i="19"/>
  <c r="V30" i="19"/>
  <c r="W2" i="19"/>
  <c r="W38" i="19" s="1"/>
  <c r="V7" i="19"/>
  <c r="V82" i="19" s="1"/>
  <c r="W27" i="19"/>
  <c r="X21" i="19"/>
  <c r="W78" i="19" l="1"/>
  <c r="W54" i="19"/>
  <c r="W47" i="19"/>
  <c r="W30" i="19"/>
  <c r="X2" i="19"/>
  <c r="X38" i="19" s="1"/>
  <c r="W7" i="19"/>
  <c r="W82" i="19" s="1"/>
  <c r="W62" i="19"/>
  <c r="X19" i="19"/>
  <c r="V79" i="19"/>
  <c r="V48" i="19"/>
  <c r="V55" i="19"/>
  <c r="V31" i="19"/>
  <c r="W3" i="19"/>
  <c r="Y21" i="19"/>
  <c r="X27" i="19"/>
  <c r="X62" i="19" l="1"/>
  <c r="Y19" i="19"/>
  <c r="Y27" i="19"/>
  <c r="Z21" i="19"/>
  <c r="W79" i="19"/>
  <c r="W55" i="19"/>
  <c r="W48" i="19"/>
  <c r="W31" i="19"/>
  <c r="X3" i="19"/>
  <c r="X78" i="19"/>
  <c r="X54" i="19"/>
  <c r="X47" i="19"/>
  <c r="X7" i="19"/>
  <c r="X82" i="19" s="1"/>
  <c r="X30" i="19"/>
  <c r="Y2" i="19"/>
  <c r="Y38" i="19" s="1"/>
  <c r="Y78" i="19" l="1"/>
  <c r="Y54" i="19"/>
  <c r="Y47" i="19"/>
  <c r="Y30" i="19"/>
  <c r="Y7" i="19"/>
  <c r="Y82" i="19" s="1"/>
  <c r="Z2" i="19"/>
  <c r="Z38" i="19" s="1"/>
  <c r="Z27" i="19"/>
  <c r="AA21" i="19"/>
  <c r="X79" i="19"/>
  <c r="X55" i="19"/>
  <c r="X48" i="19"/>
  <c r="X31" i="19"/>
  <c r="Y3" i="19"/>
  <c r="Y62" i="19"/>
  <c r="Z19" i="19"/>
  <c r="Z62" i="19" l="1"/>
  <c r="AA19" i="19"/>
  <c r="AA27" i="19"/>
  <c r="AB21" i="19"/>
  <c r="Z78" i="19"/>
  <c r="Z47" i="19"/>
  <c r="Z54" i="19"/>
  <c r="Z30" i="19"/>
  <c r="AA2" i="19"/>
  <c r="AA38" i="19" s="1"/>
  <c r="Z7" i="19"/>
  <c r="Z82" i="19" s="1"/>
  <c r="Y79" i="19"/>
  <c r="Y55" i="19"/>
  <c r="Y48" i="19"/>
  <c r="Y31" i="19"/>
  <c r="Z3" i="19"/>
  <c r="AA78" i="19" l="1"/>
  <c r="AA54" i="19"/>
  <c r="AA47" i="19"/>
  <c r="AA30" i="19"/>
  <c r="AB2" i="19"/>
  <c r="AB38" i="19" s="1"/>
  <c r="AA7" i="19"/>
  <c r="AA82" i="19" s="1"/>
  <c r="Z79" i="19"/>
  <c r="Z48" i="19"/>
  <c r="Z55" i="19"/>
  <c r="Z31" i="19"/>
  <c r="AA3" i="19"/>
  <c r="AA62" i="19"/>
  <c r="AB19" i="19"/>
  <c r="AB27" i="19"/>
  <c r="AC21" i="19"/>
  <c r="AC27" i="19" l="1"/>
  <c r="AD21" i="19"/>
  <c r="AA79" i="19"/>
  <c r="AA55" i="19"/>
  <c r="AA48" i="19"/>
  <c r="AA31" i="19"/>
  <c r="AB3" i="19"/>
  <c r="AB62" i="19"/>
  <c r="AC19" i="19"/>
  <c r="AB78" i="19"/>
  <c r="AB54" i="19"/>
  <c r="AB47" i="19"/>
  <c r="AB7" i="19"/>
  <c r="AB82" i="19" s="1"/>
  <c r="AB30" i="19"/>
  <c r="AC2" i="19"/>
  <c r="AC38" i="19" s="1"/>
  <c r="AC62" i="19" l="1"/>
  <c r="AD19" i="19"/>
  <c r="AB79" i="19"/>
  <c r="AB55" i="19"/>
  <c r="AB31" i="19"/>
  <c r="AB48" i="19"/>
  <c r="AC3" i="19"/>
  <c r="AC78" i="19"/>
  <c r="AC54" i="19"/>
  <c r="AC47" i="19"/>
  <c r="AC30" i="19"/>
  <c r="AC7" i="19"/>
  <c r="AC82" i="19" s="1"/>
  <c r="AD2" i="19"/>
  <c r="AD38" i="19" s="1"/>
  <c r="AD27" i="19"/>
  <c r="AE21" i="19"/>
  <c r="AC79" i="19" l="1"/>
  <c r="AC55" i="19"/>
  <c r="AC31" i="19"/>
  <c r="AC48" i="19"/>
  <c r="AD3" i="19"/>
  <c r="AD62" i="19"/>
  <c r="AE19" i="19"/>
  <c r="AE27" i="19"/>
  <c r="AF21" i="19"/>
  <c r="AD78" i="19"/>
  <c r="AD47" i="19"/>
  <c r="AD54" i="19"/>
  <c r="AD30" i="19"/>
  <c r="AE2" i="19"/>
  <c r="AE38" i="19" s="1"/>
  <c r="AD7" i="19"/>
  <c r="AD82" i="19" s="1"/>
  <c r="AE62" i="19" l="1"/>
  <c r="AF19" i="19"/>
  <c r="AE78" i="19"/>
  <c r="AE54" i="19"/>
  <c r="AE47" i="19"/>
  <c r="AE30" i="19"/>
  <c r="AF2" i="19"/>
  <c r="AF38" i="19" s="1"/>
  <c r="AE7" i="19"/>
  <c r="AE82" i="19" s="1"/>
  <c r="AG21" i="19"/>
  <c r="AF27" i="19"/>
  <c r="AD79" i="19"/>
  <c r="AD48" i="19"/>
  <c r="AD55" i="19"/>
  <c r="AD31" i="19"/>
  <c r="AE3" i="19"/>
  <c r="AG27" i="19" l="1"/>
  <c r="AH21" i="19"/>
  <c r="AF78" i="19"/>
  <c r="AF54" i="19"/>
  <c r="AF47" i="19"/>
  <c r="AF7" i="19"/>
  <c r="AF82" i="19" s="1"/>
  <c r="AF30" i="19"/>
  <c r="AG2" i="19"/>
  <c r="AG38" i="19" s="1"/>
  <c r="AE79" i="19"/>
  <c r="AE55" i="19"/>
  <c r="AE48" i="19"/>
  <c r="AE31" i="19"/>
  <c r="AF3" i="19"/>
  <c r="AF62" i="19"/>
  <c r="AG19" i="19"/>
  <c r="AH27" i="19" l="1"/>
  <c r="AI21" i="19"/>
  <c r="AG78" i="19"/>
  <c r="AG54" i="19"/>
  <c r="AG47" i="19"/>
  <c r="AG30" i="19"/>
  <c r="AH2" i="19"/>
  <c r="AH38" i="19" s="1"/>
  <c r="AG7" i="19"/>
  <c r="AG82" i="19" s="1"/>
  <c r="AG62" i="19"/>
  <c r="AH19" i="19"/>
  <c r="AF79" i="19"/>
  <c r="AF55" i="19"/>
  <c r="AF48" i="19"/>
  <c r="AF31" i="19"/>
  <c r="AG3" i="19"/>
  <c r="AG79" i="19" l="1"/>
  <c r="AG55" i="19"/>
  <c r="AG48" i="19"/>
  <c r="AG31" i="19"/>
  <c r="AH3" i="19"/>
  <c r="AH78" i="19"/>
  <c r="AH47" i="19"/>
  <c r="AH54" i="19"/>
  <c r="AH30" i="19"/>
  <c r="AI2" i="19"/>
  <c r="AI38" i="19" s="1"/>
  <c r="AH7" i="19"/>
  <c r="AH82" i="19" s="1"/>
  <c r="AH62" i="19"/>
  <c r="AI19" i="19"/>
  <c r="AI27" i="19"/>
  <c r="AJ21" i="19"/>
  <c r="AJ27" i="19" l="1"/>
  <c r="AK21" i="19"/>
  <c r="AI62" i="19"/>
  <c r="AJ19" i="19"/>
  <c r="AH79" i="19"/>
  <c r="AH48" i="19"/>
  <c r="AH55" i="19"/>
  <c r="AH31" i="19"/>
  <c r="AI3" i="19"/>
  <c r="AI78" i="19"/>
  <c r="AI54" i="19"/>
  <c r="AI47" i="19"/>
  <c r="AI30" i="19"/>
  <c r="AJ2" i="19"/>
  <c r="AJ38" i="19" s="1"/>
  <c r="AI7" i="19"/>
  <c r="AI82" i="19" s="1"/>
  <c r="AJ62" i="19" l="1"/>
  <c r="AK19" i="19"/>
  <c r="AJ78" i="19"/>
  <c r="AJ54" i="19"/>
  <c r="AJ47" i="19"/>
  <c r="AJ7" i="19"/>
  <c r="AJ82" i="19" s="1"/>
  <c r="AJ30" i="19"/>
  <c r="AK2" i="19"/>
  <c r="AK38" i="19" s="1"/>
  <c r="AI79" i="19"/>
  <c r="AI55" i="19"/>
  <c r="AI48" i="19"/>
  <c r="AI31" i="19"/>
  <c r="AJ3" i="19"/>
  <c r="AK27" i="19"/>
  <c r="AL21" i="19"/>
  <c r="AJ79" i="19" l="1"/>
  <c r="AJ55" i="19"/>
  <c r="AJ31" i="19"/>
  <c r="AJ48" i="19"/>
  <c r="AK3" i="19"/>
  <c r="AK78" i="19"/>
  <c r="AK54" i="19"/>
  <c r="AK30" i="19"/>
  <c r="AK47" i="19"/>
  <c r="AL2" i="19"/>
  <c r="AL38" i="19" s="1"/>
  <c r="AK7" i="19"/>
  <c r="AK82" i="19" s="1"/>
  <c r="AL27" i="19"/>
  <c r="AM21" i="19"/>
  <c r="AK62" i="19"/>
  <c r="AL19" i="19"/>
  <c r="AL62" i="19" l="1"/>
  <c r="AM19" i="19"/>
  <c r="AM27" i="19"/>
  <c r="AN21" i="19"/>
  <c r="AK79" i="19"/>
  <c r="AK55" i="19"/>
  <c r="AK31" i="19"/>
  <c r="AK48" i="19"/>
  <c r="AL3" i="19"/>
  <c r="AL78" i="19"/>
  <c r="AL47" i="19"/>
  <c r="AL54" i="19"/>
  <c r="AL30" i="19"/>
  <c r="AM2" i="19"/>
  <c r="AM38" i="19" s="1"/>
  <c r="AL7" i="19"/>
  <c r="AL82" i="19" s="1"/>
  <c r="AM78" i="19" l="1"/>
  <c r="AM54" i="19"/>
  <c r="AM47" i="19"/>
  <c r="AM30" i="19"/>
  <c r="AN2" i="19"/>
  <c r="AN38" i="19" s="1"/>
  <c r="AM7" i="19"/>
  <c r="AM82" i="19" s="1"/>
  <c r="AL79" i="19"/>
  <c r="AL48" i="19"/>
  <c r="AL55" i="19"/>
  <c r="AL31" i="19"/>
  <c r="AM3" i="19"/>
  <c r="AM62" i="19"/>
  <c r="AN19" i="19"/>
  <c r="AO21" i="19"/>
  <c r="AP21" i="19" s="1"/>
  <c r="AN27" i="19"/>
  <c r="AQ21" i="19" l="1"/>
  <c r="AP27" i="19"/>
  <c r="AN78" i="19"/>
  <c r="AN54" i="19"/>
  <c r="AN47" i="19"/>
  <c r="AN30" i="19"/>
  <c r="AN7" i="19"/>
  <c r="AN82" i="19" s="1"/>
  <c r="AO2" i="19"/>
  <c r="AN62" i="19"/>
  <c r="AO19" i="19"/>
  <c r="AP19" i="19" s="1"/>
  <c r="AO27" i="19"/>
  <c r="AM79" i="19"/>
  <c r="AM55" i="19"/>
  <c r="AM48" i="19"/>
  <c r="AM31" i="19"/>
  <c r="AN3" i="19"/>
  <c r="AP2" i="19" l="1"/>
  <c r="AP38" i="19" s="1"/>
  <c r="AO38" i="19"/>
  <c r="AP62" i="19"/>
  <c r="AQ19" i="19"/>
  <c r="AQ27" i="19"/>
  <c r="AR21" i="19"/>
  <c r="AO78" i="19"/>
  <c r="AO54" i="19"/>
  <c r="AO47" i="19"/>
  <c r="AO30" i="19"/>
  <c r="AO7" i="19"/>
  <c r="AO82" i="19" s="1"/>
  <c r="AO62" i="19"/>
  <c r="AN79" i="19"/>
  <c r="AN55" i="19"/>
  <c r="AN48" i="19"/>
  <c r="AN31" i="19"/>
  <c r="AO3" i="19"/>
  <c r="AP3" i="19" s="1"/>
  <c r="AP54" i="19" l="1"/>
  <c r="AP30" i="19"/>
  <c r="AP78" i="19"/>
  <c r="AP47" i="19"/>
  <c r="AQ2" i="19"/>
  <c r="AQ38" i="19" s="1"/>
  <c r="AR19" i="19"/>
  <c r="AQ62" i="19"/>
  <c r="AP55" i="19"/>
  <c r="AP48" i="19"/>
  <c r="AP31" i="19"/>
  <c r="AP79" i="19"/>
  <c r="AQ3" i="19"/>
  <c r="AS21" i="19"/>
  <c r="AR27" i="19"/>
  <c r="AP7" i="19"/>
  <c r="AP82" i="19" s="1"/>
  <c r="AO79" i="19"/>
  <c r="AO55" i="19"/>
  <c r="AO48" i="19"/>
  <c r="AO31" i="19"/>
  <c r="AQ54" i="19" l="1"/>
  <c r="AQ78" i="19"/>
  <c r="AQ30" i="19"/>
  <c r="AR2" i="19"/>
  <c r="AR38" i="19" s="1"/>
  <c r="AQ47" i="19"/>
  <c r="AQ7" i="19"/>
  <c r="AQ82" i="19" s="1"/>
  <c r="AS19" i="19"/>
  <c r="AR62" i="19"/>
  <c r="AS27" i="19"/>
  <c r="AT21" i="19"/>
  <c r="AR78" i="19"/>
  <c r="AQ55" i="19"/>
  <c r="AQ48" i="19"/>
  <c r="AQ31" i="19"/>
  <c r="AQ79" i="19"/>
  <c r="AR3" i="19"/>
  <c r="AR30" i="19" l="1"/>
  <c r="AR47" i="19"/>
  <c r="AS2" i="19"/>
  <c r="AS38" i="19" s="1"/>
  <c r="AR54" i="19"/>
  <c r="AR7" i="19"/>
  <c r="AR82" i="19" s="1"/>
  <c r="AS62" i="19"/>
  <c r="AT19" i="19"/>
  <c r="AT27" i="19"/>
  <c r="AU21" i="19"/>
  <c r="AS3" i="19"/>
  <c r="AR79" i="19"/>
  <c r="AR55" i="19"/>
  <c r="AR48" i="19"/>
  <c r="AR31" i="19"/>
  <c r="AS30" i="19" l="1"/>
  <c r="AS47" i="19"/>
  <c r="AS78" i="19"/>
  <c r="AS54" i="19"/>
  <c r="AT2" i="19"/>
  <c r="AT38" i="19" s="1"/>
  <c r="AS7" i="19"/>
  <c r="AS82" i="19" s="1"/>
  <c r="AT62" i="19"/>
  <c r="AU19" i="19"/>
  <c r="AS79" i="19"/>
  <c r="AT3" i="19"/>
  <c r="AS55" i="19"/>
  <c r="AS48" i="19"/>
  <c r="AS31" i="19"/>
  <c r="AT30" i="19"/>
  <c r="AT78" i="19"/>
  <c r="AU27" i="19"/>
  <c r="AU2" i="19" l="1"/>
  <c r="AU38" i="19" s="1"/>
  <c r="AT47" i="19"/>
  <c r="AT54" i="19"/>
  <c r="AT7" i="19"/>
  <c r="AT82" i="19" s="1"/>
  <c r="AU62" i="19"/>
  <c r="AT48" i="19"/>
  <c r="AT79" i="19"/>
  <c r="AU3" i="19"/>
  <c r="AT55" i="19"/>
  <c r="AT31" i="19"/>
  <c r="AU30" i="19" l="1"/>
  <c r="AU54" i="19"/>
  <c r="AU78" i="19"/>
  <c r="AU47" i="19"/>
  <c r="AU7" i="19"/>
  <c r="AU82" i="19" s="1"/>
  <c r="AU48" i="19"/>
  <c r="AU31" i="19"/>
  <c r="AU79" i="19"/>
  <c r="AU55" i="19"/>
  <c r="F50" i="19" l="1"/>
  <c r="J50" i="19"/>
  <c r="N50" i="19"/>
  <c r="R50" i="19"/>
  <c r="V50" i="19"/>
  <c r="Z50" i="19"/>
  <c r="AD50" i="19"/>
  <c r="AH50" i="19"/>
  <c r="AL50" i="19"/>
  <c r="AP50" i="19"/>
  <c r="AT50" i="19"/>
  <c r="G50" i="19"/>
  <c r="K50" i="19"/>
  <c r="O50" i="19"/>
  <c r="S50" i="19"/>
  <c r="W50" i="19"/>
  <c r="AA50" i="19"/>
  <c r="AE50" i="19"/>
  <c r="AI50" i="19"/>
  <c r="AM50" i="19"/>
  <c r="AQ50" i="19"/>
  <c r="D50" i="19"/>
  <c r="H50" i="19"/>
  <c r="L50" i="19"/>
  <c r="P50" i="19"/>
  <c r="T50" i="19"/>
  <c r="X50" i="19"/>
  <c r="AB50" i="19"/>
  <c r="AF50" i="19"/>
  <c r="AJ50" i="19"/>
  <c r="AN50" i="19"/>
  <c r="AR50" i="19"/>
  <c r="E50" i="19"/>
  <c r="I50" i="19"/>
  <c r="M50" i="19"/>
  <c r="Q50" i="19"/>
  <c r="U50" i="19"/>
  <c r="Y50" i="19"/>
  <c r="AC50" i="19"/>
  <c r="AG50" i="19"/>
  <c r="AK50" i="19"/>
  <c r="AO50" i="19"/>
  <c r="AS50" i="19"/>
  <c r="B51" i="19"/>
  <c r="C81" i="19"/>
  <c r="C83" i="19" s="1"/>
  <c r="C50" i="19" s="1"/>
  <c r="D81" i="19" l="1"/>
  <c r="D83" i="19" s="1"/>
  <c r="C32" i="19"/>
  <c r="C49" i="19"/>
  <c r="B73" i="19"/>
  <c r="B75" i="19" s="1"/>
  <c r="C72" i="19" s="1"/>
  <c r="C73" i="19"/>
  <c r="C51" i="19" l="1"/>
  <c r="D49" i="19" s="1"/>
  <c r="D32" i="19"/>
  <c r="E81" i="19"/>
  <c r="E83" i="19" s="1"/>
  <c r="C74" i="19"/>
  <c r="C58" i="19" s="1"/>
  <c r="C52" i="19" l="1"/>
  <c r="C75" i="19"/>
  <c r="D72" i="19" s="1"/>
  <c r="D74" i="19" s="1"/>
  <c r="D58" i="19" s="1"/>
  <c r="D51" i="19"/>
  <c r="E49" i="19" s="1"/>
  <c r="F81" i="19"/>
  <c r="F83" i="19" s="1"/>
  <c r="E32" i="19"/>
  <c r="C34" i="19" l="1"/>
  <c r="C33" i="19"/>
  <c r="C57" i="19" s="1"/>
  <c r="G81" i="19"/>
  <c r="G83" i="19" s="1"/>
  <c r="F32" i="19"/>
  <c r="E51" i="19"/>
  <c r="F49" i="19" s="1"/>
  <c r="D75" i="19"/>
  <c r="E72" i="19" s="1"/>
  <c r="D52" i="19"/>
  <c r="D33" i="19" l="1"/>
  <c r="D34" i="19"/>
  <c r="F51" i="19"/>
  <c r="G49" i="19" s="1"/>
  <c r="E52" i="19"/>
  <c r="E74" i="19"/>
  <c r="E58" i="19" s="1"/>
  <c r="H81" i="19"/>
  <c r="H83" i="19" s="1"/>
  <c r="G32" i="19"/>
  <c r="E34" i="19" l="1"/>
  <c r="E33" i="19"/>
  <c r="E75" i="19"/>
  <c r="F72" i="19" s="1"/>
  <c r="F74" i="19" s="1"/>
  <c r="H32" i="19"/>
  <c r="I81" i="19"/>
  <c r="I83" i="19" s="1"/>
  <c r="F52" i="19"/>
  <c r="D57" i="19"/>
  <c r="G51" i="19"/>
  <c r="H49" i="19" s="1"/>
  <c r="F34" i="19" l="1"/>
  <c r="F33" i="19"/>
  <c r="F58" i="19"/>
  <c r="F75" i="19"/>
  <c r="G72" i="19" s="1"/>
  <c r="G74" i="19" s="1"/>
  <c r="G58" i="19" s="1"/>
  <c r="J81" i="19"/>
  <c r="J83" i="19" s="1"/>
  <c r="I32" i="19"/>
  <c r="G52" i="19"/>
  <c r="H51" i="19"/>
  <c r="I49" i="19" s="1"/>
  <c r="E57" i="19"/>
  <c r="G34" i="19" l="1"/>
  <c r="G33" i="19"/>
  <c r="H52" i="19"/>
  <c r="G75" i="19"/>
  <c r="H72" i="19" s="1"/>
  <c r="H74" i="19" s="1"/>
  <c r="H58" i="19" s="1"/>
  <c r="F57" i="19"/>
  <c r="I51" i="19"/>
  <c r="J49" i="19" s="1"/>
  <c r="K81" i="19"/>
  <c r="K83" i="19" s="1"/>
  <c r="J32" i="19"/>
  <c r="H33" i="19" l="1"/>
  <c r="H57" i="19" s="1"/>
  <c r="H34" i="19"/>
  <c r="H75" i="19"/>
  <c r="I72" i="19" s="1"/>
  <c r="I74" i="19" s="1"/>
  <c r="I58" i="19" s="1"/>
  <c r="J51" i="19"/>
  <c r="K49" i="19" s="1"/>
  <c r="L81" i="19"/>
  <c r="L83" i="19" s="1"/>
  <c r="K32" i="19"/>
  <c r="I52" i="19"/>
  <c r="G57" i="19"/>
  <c r="I34" i="19" l="1"/>
  <c r="I33" i="19"/>
  <c r="L32" i="19"/>
  <c r="M81" i="19"/>
  <c r="M83" i="19" s="1"/>
  <c r="I75" i="19"/>
  <c r="J72" i="19" s="1"/>
  <c r="K51" i="19"/>
  <c r="L49" i="19" s="1"/>
  <c r="J52" i="19"/>
  <c r="J34" i="19" l="1"/>
  <c r="J33" i="19"/>
  <c r="K52" i="19"/>
  <c r="L51" i="19"/>
  <c r="M49" i="19" s="1"/>
  <c r="J74" i="19"/>
  <c r="J58" i="19" s="1"/>
  <c r="N81" i="19"/>
  <c r="N83" i="19" s="1"/>
  <c r="M32" i="19"/>
  <c r="I57" i="19"/>
  <c r="K34" i="19" l="1"/>
  <c r="K33" i="19"/>
  <c r="K57" i="19" s="1"/>
  <c r="J75" i="19"/>
  <c r="K72" i="19" s="1"/>
  <c r="K74" i="19" s="1"/>
  <c r="K58" i="19" s="1"/>
  <c r="O81" i="19"/>
  <c r="O83" i="19" s="1"/>
  <c r="N32" i="19"/>
  <c r="J57" i="19"/>
  <c r="L52" i="19"/>
  <c r="M51" i="19"/>
  <c r="N49" i="19" s="1"/>
  <c r="L33" i="19" l="1"/>
  <c r="L34" i="19"/>
  <c r="K75" i="19"/>
  <c r="L72" i="19" s="1"/>
  <c r="L74" i="19" s="1"/>
  <c r="L58" i="19" s="1"/>
  <c r="M52" i="19"/>
  <c r="P81" i="19"/>
  <c r="P83" i="19" s="1"/>
  <c r="O32" i="19"/>
  <c r="N51" i="19"/>
  <c r="O49" i="19" s="1"/>
  <c r="M34" i="19" l="1"/>
  <c r="M33" i="19"/>
  <c r="M57" i="19" s="1"/>
  <c r="N52" i="19"/>
  <c r="L75" i="19"/>
  <c r="M72" i="19" s="1"/>
  <c r="M74" i="19" s="1"/>
  <c r="M58" i="19" s="1"/>
  <c r="L57" i="19"/>
  <c r="P32" i="19"/>
  <c r="Q81" i="19"/>
  <c r="Q83" i="19" s="1"/>
  <c r="O51" i="19"/>
  <c r="P49" i="19" s="1"/>
  <c r="N34" i="19" l="1"/>
  <c r="N33" i="19"/>
  <c r="N57" i="19" s="1"/>
  <c r="O52" i="19"/>
  <c r="M75" i="19"/>
  <c r="N72" i="19" s="1"/>
  <c r="P51" i="19"/>
  <c r="Q49" i="19" s="1"/>
  <c r="R81" i="19"/>
  <c r="R83" i="19" s="1"/>
  <c r="Q32" i="19"/>
  <c r="O34" i="19" l="1"/>
  <c r="O33" i="19"/>
  <c r="O57" i="19" s="1"/>
  <c r="P52" i="19"/>
  <c r="Q51" i="19"/>
  <c r="R49" i="19" s="1"/>
  <c r="S81" i="19"/>
  <c r="S83" i="19" s="1"/>
  <c r="R32" i="19"/>
  <c r="N74" i="19"/>
  <c r="N58" i="19" s="1"/>
  <c r="P33" i="19" l="1"/>
  <c r="P34" i="19"/>
  <c r="N75" i="19"/>
  <c r="O72" i="19" s="1"/>
  <c r="Q52" i="19"/>
  <c r="T81" i="19"/>
  <c r="T83" i="19" s="1"/>
  <c r="S32" i="19"/>
  <c r="P57" i="19"/>
  <c r="R51" i="19"/>
  <c r="S49" i="19" s="1"/>
  <c r="Q34" i="19" l="1"/>
  <c r="Q33" i="19"/>
  <c r="S51" i="19"/>
  <c r="T49" i="19" s="1"/>
  <c r="R52" i="19"/>
  <c r="T32" i="19"/>
  <c r="U81" i="19"/>
  <c r="U83" i="19" s="1"/>
  <c r="O74" i="19"/>
  <c r="O58" i="19" s="1"/>
  <c r="R34" i="19" l="1"/>
  <c r="R33" i="19"/>
  <c r="S52" i="19"/>
  <c r="Q57" i="19"/>
  <c r="O75" i="19"/>
  <c r="P72" i="19" s="1"/>
  <c r="T51" i="19"/>
  <c r="U49" i="19" s="1"/>
  <c r="V81" i="19"/>
  <c r="V83" i="19" s="1"/>
  <c r="U32" i="19"/>
  <c r="S34" i="19" l="1"/>
  <c r="S33" i="19"/>
  <c r="S57" i="19" s="1"/>
  <c r="U51" i="19"/>
  <c r="V49" i="19" s="1"/>
  <c r="T52" i="19"/>
  <c r="P74" i="19"/>
  <c r="P58" i="19" s="1"/>
  <c r="R57" i="19"/>
  <c r="W81" i="19"/>
  <c r="W83" i="19" s="1"/>
  <c r="V32" i="19"/>
  <c r="T33" i="19" l="1"/>
  <c r="T34" i="19"/>
  <c r="P75" i="19"/>
  <c r="Q72" i="19" s="1"/>
  <c r="Q74" i="19" s="1"/>
  <c r="Q58" i="19" s="1"/>
  <c r="X81" i="19"/>
  <c r="X83" i="19" s="1"/>
  <c r="W32" i="19"/>
  <c r="U52" i="19"/>
  <c r="V51" i="19"/>
  <c r="W49" i="19" s="1"/>
  <c r="U34" i="19" l="1"/>
  <c r="U33" i="19"/>
  <c r="V52" i="19"/>
  <c r="Q75" i="19"/>
  <c r="R72" i="19" s="1"/>
  <c r="T57" i="19"/>
  <c r="W51" i="19"/>
  <c r="X49" i="19" s="1"/>
  <c r="X32" i="19"/>
  <c r="Y81" i="19"/>
  <c r="Y83" i="19" s="1"/>
  <c r="V34" i="19" l="1"/>
  <c r="V33" i="19"/>
  <c r="V57" i="19" s="1"/>
  <c r="W52" i="19"/>
  <c r="U57" i="19"/>
  <c r="X51" i="19"/>
  <c r="Y49" i="19" s="1"/>
  <c r="Z81" i="19"/>
  <c r="Z83" i="19" s="1"/>
  <c r="Y32" i="19"/>
  <c r="R74" i="19"/>
  <c r="R58" i="19" s="1"/>
  <c r="W34" i="19" l="1"/>
  <c r="W33" i="19"/>
  <c r="W57" i="19" s="1"/>
  <c r="R75" i="19"/>
  <c r="S72" i="19" s="1"/>
  <c r="S74" i="19" s="1"/>
  <c r="S58" i="19" s="1"/>
  <c r="X52" i="19"/>
  <c r="Y51" i="19"/>
  <c r="Z49" i="19" s="1"/>
  <c r="AA81" i="19"/>
  <c r="AA83" i="19" s="1"/>
  <c r="Z32" i="19"/>
  <c r="X33" i="19" l="1"/>
  <c r="X34" i="19"/>
  <c r="Z51" i="19"/>
  <c r="AA49" i="19" s="1"/>
  <c r="AB81" i="19"/>
  <c r="AB83" i="19" s="1"/>
  <c r="AA32" i="19"/>
  <c r="Y52" i="19"/>
  <c r="S75" i="19"/>
  <c r="T72" i="19" s="1"/>
  <c r="Y34" i="19" l="1"/>
  <c r="Y33" i="19"/>
  <c r="T74" i="19"/>
  <c r="T58" i="19" s="1"/>
  <c r="X57" i="19"/>
  <c r="AB32" i="19"/>
  <c r="AC81" i="19"/>
  <c r="AC83" i="19" s="1"/>
  <c r="Z52" i="19"/>
  <c r="AA51" i="19"/>
  <c r="AB49" i="19" s="1"/>
  <c r="Z34" i="19" l="1"/>
  <c r="Z33" i="19"/>
  <c r="AD81" i="19"/>
  <c r="AD83" i="19" s="1"/>
  <c r="AC32" i="19"/>
  <c r="AA52" i="19"/>
  <c r="Y57" i="19"/>
  <c r="AB51" i="19"/>
  <c r="AC49" i="19" s="1"/>
  <c r="T75" i="19"/>
  <c r="U72" i="19" s="1"/>
  <c r="AA34" i="19" l="1"/>
  <c r="AA33" i="19"/>
  <c r="AB52" i="19"/>
  <c r="AC51" i="19"/>
  <c r="AD49" i="19" s="1"/>
  <c r="AE81" i="19"/>
  <c r="AE83" i="19" s="1"/>
  <c r="AD32" i="19"/>
  <c r="U74" i="19"/>
  <c r="U58" i="19" s="1"/>
  <c r="Z57" i="19"/>
  <c r="AB33" i="19" l="1"/>
  <c r="AB57" i="19" s="1"/>
  <c r="AB34" i="19"/>
  <c r="AC52" i="19"/>
  <c r="AF81" i="19"/>
  <c r="AF83" i="19" s="1"/>
  <c r="AE32" i="19"/>
  <c r="AA57" i="19"/>
  <c r="U75" i="19"/>
  <c r="V72" i="19" s="1"/>
  <c r="AD51" i="19"/>
  <c r="AE49" i="19" s="1"/>
  <c r="AC34" i="19" l="1"/>
  <c r="AC33" i="19"/>
  <c r="AC57" i="19" s="1"/>
  <c r="V74" i="19"/>
  <c r="V58" i="19" s="1"/>
  <c r="AF32" i="19"/>
  <c r="AG81" i="19"/>
  <c r="AG83" i="19" s="1"/>
  <c r="AE51" i="19"/>
  <c r="AF49" i="19" s="1"/>
  <c r="AD52" i="19"/>
  <c r="AD34" i="19" l="1"/>
  <c r="AD33" i="19"/>
  <c r="AE52" i="19"/>
  <c r="V75" i="19"/>
  <c r="W72" i="19" s="1"/>
  <c r="AF51" i="19"/>
  <c r="AG49" i="19" s="1"/>
  <c r="AH81" i="19"/>
  <c r="AH83" i="19" s="1"/>
  <c r="AG32" i="19"/>
  <c r="AE34" i="19" l="1"/>
  <c r="AE33" i="19"/>
  <c r="AE57" i="19" s="1"/>
  <c r="AF52" i="19"/>
  <c r="AI81" i="19"/>
  <c r="AI83" i="19" s="1"/>
  <c r="AH32" i="19"/>
  <c r="AG51" i="19"/>
  <c r="AH49" i="19" s="1"/>
  <c r="W74" i="19"/>
  <c r="W58" i="19" s="1"/>
  <c r="AD57" i="19"/>
  <c r="AF33" i="19" l="1"/>
  <c r="AF57" i="19" s="1"/>
  <c r="AF34" i="19"/>
  <c r="W75" i="19"/>
  <c r="X72" i="19" s="1"/>
  <c r="X74" i="19" s="1"/>
  <c r="X58" i="19" s="1"/>
  <c r="AG52" i="19"/>
  <c r="AJ81" i="19"/>
  <c r="AJ83" i="19" s="1"/>
  <c r="AI32" i="19"/>
  <c r="AH51" i="19"/>
  <c r="AI49" i="19" s="1"/>
  <c r="AG34" i="19" l="1"/>
  <c r="AG33" i="19"/>
  <c r="AH52" i="19"/>
  <c r="X75" i="19"/>
  <c r="Y72" i="19" s="1"/>
  <c r="AI51" i="19"/>
  <c r="AJ49" i="19" s="1"/>
  <c r="AJ32" i="19"/>
  <c r="AK81" i="19"/>
  <c r="AK83" i="19" s="1"/>
  <c r="AH34" i="19" l="1"/>
  <c r="AH33" i="19"/>
  <c r="AH57" i="19" s="1"/>
  <c r="AI52" i="19"/>
  <c r="AG57" i="19"/>
  <c r="AL81" i="19"/>
  <c r="AL83" i="19" s="1"/>
  <c r="AK32" i="19"/>
  <c r="AJ51" i="19"/>
  <c r="AK49" i="19" s="1"/>
  <c r="Y74" i="19"/>
  <c r="Y58" i="19" s="1"/>
  <c r="AI34" i="19" l="1"/>
  <c r="AI33" i="19"/>
  <c r="AI57" i="19" s="1"/>
  <c r="AJ52" i="19"/>
  <c r="Y75" i="19"/>
  <c r="Z72" i="19" s="1"/>
  <c r="AK51" i="19"/>
  <c r="AL49" i="19" s="1"/>
  <c r="AM81" i="19"/>
  <c r="AM83" i="19" s="1"/>
  <c r="AL32" i="19"/>
  <c r="AJ33" i="19" l="1"/>
  <c r="AJ57" i="19" s="1"/>
  <c r="AJ34" i="19"/>
  <c r="Z74" i="19"/>
  <c r="Z58" i="19" s="1"/>
  <c r="AL51" i="19"/>
  <c r="AM49" i="19" s="1"/>
  <c r="AK52" i="19"/>
  <c r="AN81" i="19"/>
  <c r="AN83" i="19" s="1"/>
  <c r="AM32" i="19"/>
  <c r="AK34" i="19" l="1"/>
  <c r="AK33" i="19"/>
  <c r="AL52" i="19"/>
  <c r="Z75" i="19"/>
  <c r="AA72" i="19" s="1"/>
  <c r="AM51" i="19"/>
  <c r="AN49" i="19" s="1"/>
  <c r="AN32" i="19"/>
  <c r="AO81" i="19"/>
  <c r="AO83" i="19" s="1"/>
  <c r="AL34" i="19" l="1"/>
  <c r="AL33" i="19"/>
  <c r="AL57" i="19" s="1"/>
  <c r="AK57" i="19"/>
  <c r="AP81" i="19"/>
  <c r="AP83" i="19" s="1"/>
  <c r="AO32" i="19"/>
  <c r="AA74" i="19"/>
  <c r="AA58" i="19" s="1"/>
  <c r="AM52" i="19"/>
  <c r="AN51" i="19"/>
  <c r="AO49" i="19" s="1"/>
  <c r="AM34" i="19" l="1"/>
  <c r="AM33" i="19"/>
  <c r="AA75" i="19"/>
  <c r="AB72" i="19" s="1"/>
  <c r="AB74" i="19" s="1"/>
  <c r="AB58" i="19" s="1"/>
  <c r="AN52" i="19"/>
  <c r="AO51" i="19"/>
  <c r="AP49" i="19" s="1"/>
  <c r="AQ81" i="19"/>
  <c r="AQ83" i="19" s="1"/>
  <c r="AP32" i="19"/>
  <c r="AN33" i="19" l="1"/>
  <c r="AN57" i="19" s="1"/>
  <c r="AN34" i="19"/>
  <c r="AR81" i="19"/>
  <c r="AR83" i="19" s="1"/>
  <c r="AQ32" i="19"/>
  <c r="AM57" i="19"/>
  <c r="AB75" i="19"/>
  <c r="AC72" i="19" s="1"/>
  <c r="AP51" i="19"/>
  <c r="AQ49" i="19" s="1"/>
  <c r="AO52" i="19"/>
  <c r="AO34" i="19" l="1"/>
  <c r="AO33" i="19"/>
  <c r="AQ51" i="19"/>
  <c r="AR49" i="19" s="1"/>
  <c r="AC74" i="19"/>
  <c r="AC58" i="19" s="1"/>
  <c r="AR32" i="19"/>
  <c r="AS81" i="19"/>
  <c r="AS83" i="19" s="1"/>
  <c r="AP52" i="19"/>
  <c r="AP34" i="19" l="1"/>
  <c r="AP33" i="19"/>
  <c r="AQ52" i="19"/>
  <c r="AT81" i="19"/>
  <c r="AT83" i="19" s="1"/>
  <c r="AS32" i="19"/>
  <c r="AR51" i="19"/>
  <c r="AS49" i="19" s="1"/>
  <c r="AO57" i="19"/>
  <c r="AC75" i="19"/>
  <c r="AD72" i="19" s="1"/>
  <c r="AQ34" i="19" l="1"/>
  <c r="AQ33" i="19"/>
  <c r="AQ57" i="19" s="1"/>
  <c r="AR52" i="19"/>
  <c r="AS51" i="19"/>
  <c r="AT49" i="19" s="1"/>
  <c r="AU81" i="19"/>
  <c r="AT32" i="19"/>
  <c r="AP57" i="19"/>
  <c r="AD74" i="19"/>
  <c r="AD58" i="19" s="1"/>
  <c r="AU83" i="19" l="1"/>
  <c r="AU32" i="19" s="1"/>
  <c r="AR33" i="19"/>
  <c r="AR57" i="19" s="1"/>
  <c r="AR34" i="19"/>
  <c r="AS52" i="19"/>
  <c r="AD75" i="19"/>
  <c r="AE72" i="19" s="1"/>
  <c r="AT51" i="19"/>
  <c r="AU49" i="19" s="1"/>
  <c r="AS34" i="19" l="1"/>
  <c r="AS33" i="19"/>
  <c r="AS57" i="19" s="1"/>
  <c r="AT52" i="19"/>
  <c r="AE74" i="19"/>
  <c r="AE58" i="19" s="1"/>
  <c r="AU51" i="19"/>
  <c r="AT34" i="19" l="1"/>
  <c r="AT33" i="19"/>
  <c r="AU52" i="19"/>
  <c r="AE75" i="19"/>
  <c r="AF72" i="19" s="1"/>
  <c r="AU34" i="19" l="1"/>
  <c r="AU33" i="19"/>
  <c r="AF74" i="19"/>
  <c r="AF58" i="19" s="1"/>
  <c r="AT57" i="19"/>
  <c r="AU57" i="19" l="1"/>
  <c r="C39" i="19"/>
  <c r="AF75" i="19"/>
  <c r="AG72" i="19" s="1"/>
  <c r="AG74" i="19" l="1"/>
  <c r="AG58" i="19" s="1"/>
  <c r="AG75" i="19" l="1"/>
  <c r="AH72" i="19" s="1"/>
  <c r="C40" i="19" l="1"/>
  <c r="C41" i="19"/>
  <c r="AH74" i="19"/>
  <c r="AH58" i="19" s="1"/>
  <c r="AH75" i="19" l="1"/>
  <c r="AI72" i="19" s="1"/>
  <c r="AI74" i="19" s="1"/>
  <c r="AI58" i="19" s="1"/>
  <c r="AI75" i="19" l="1"/>
  <c r="AJ72" i="19" s="1"/>
  <c r="AJ74" i="19" s="1"/>
  <c r="AJ58" i="19" s="1"/>
  <c r="AJ75" i="19" l="1"/>
  <c r="AK72" i="19" s="1"/>
  <c r="AK74" i="19" l="1"/>
  <c r="AK58" i="19" s="1"/>
  <c r="AK75" i="19" l="1"/>
  <c r="AL72" i="19" s="1"/>
  <c r="AL74" i="19" l="1"/>
  <c r="AL58" i="19" s="1"/>
  <c r="AL75" i="19" l="1"/>
  <c r="AM72" i="19" s="1"/>
  <c r="AM74" i="19" l="1"/>
  <c r="AM58" i="19" s="1"/>
  <c r="AM75" i="19"/>
  <c r="AN72" i="19" s="1"/>
  <c r="AN74" i="19" l="1"/>
  <c r="AN58" i="19" s="1"/>
  <c r="AN75" i="19" l="1"/>
  <c r="AO72" i="19" s="1"/>
  <c r="AO74" i="19" l="1"/>
  <c r="AO58" i="19" s="1"/>
  <c r="AO75" i="19" l="1"/>
  <c r="AP72" i="19" s="1"/>
  <c r="AP74" i="19" l="1"/>
  <c r="AP58" i="19" s="1"/>
  <c r="AP75" i="19" l="1"/>
  <c r="AQ72" i="19" s="1"/>
  <c r="AQ74" i="19" l="1"/>
  <c r="AQ58" i="19" s="1"/>
  <c r="AQ75" i="19"/>
  <c r="AR72" i="19" s="1"/>
  <c r="AR74" i="19" l="1"/>
  <c r="AR58" i="19" s="1"/>
  <c r="AR75" i="19" l="1"/>
  <c r="AS72" i="19" s="1"/>
  <c r="AS74" i="19" l="1"/>
  <c r="AS58" i="19" s="1"/>
  <c r="AS75" i="19" l="1"/>
  <c r="AT72" i="19" s="1"/>
  <c r="AT74" i="19" l="1"/>
  <c r="AT58" i="19" s="1"/>
  <c r="AT75" i="19" l="1"/>
  <c r="AU72" i="19" s="1"/>
  <c r="AU74" i="19" l="1"/>
  <c r="AU58" i="19" s="1"/>
  <c r="AU75" i="19" l="1"/>
  <c r="L9" i="9" a="1"/>
  <c r="L9" i="9"/>
  <c r="S9" i="9"/>
  <c r="L10" i="9"/>
  <c r="S10" i="9"/>
  <c r="L11" i="9"/>
  <c r="S11" i="9"/>
  <c r="L12" i="9"/>
  <c r="S12" i="9"/>
  <c r="L13" i="9"/>
  <c r="S13" i="9"/>
  <c r="L14" i="9"/>
  <c r="S14" i="9"/>
  <c r="L15" i="9"/>
  <c r="S15" i="9"/>
  <c r="L16" i="9"/>
  <c r="S16" i="9"/>
  <c r="L17" i="9"/>
  <c r="S17" i="9"/>
  <c r="L18" i="9"/>
  <c r="S18" i="9"/>
  <c r="L19" i="9"/>
  <c r="S19" i="9"/>
  <c r="L20" i="9"/>
  <c r="S20" i="9"/>
  <c r="L21" i="9"/>
  <c r="S21" i="9"/>
  <c r="L22" i="9"/>
  <c r="S22" i="9"/>
  <c r="L23" i="9"/>
  <c r="S23" i="9"/>
  <c r="L24" i="9"/>
  <c r="S24" i="9"/>
  <c r="L25" i="9"/>
  <c r="S25" i="9"/>
  <c r="L26" i="9"/>
  <c r="S26" i="9"/>
  <c r="L27" i="9"/>
  <c r="S27" i="9"/>
  <c r="L28" i="9"/>
  <c r="S28" i="9"/>
  <c r="L29" i="9"/>
  <c r="S29" i="9"/>
  <c r="L30" i="9"/>
  <c r="S30" i="9"/>
  <c r="L31" i="9"/>
  <c r="S31" i="9"/>
  <c r="L32" i="9"/>
  <c r="S32" i="9"/>
  <c r="L33" i="9"/>
  <c r="S33" i="9"/>
  <c r="L34" i="9"/>
  <c r="S34" i="9"/>
  <c r="L35" i="9"/>
  <c r="S35" i="9"/>
  <c r="L36" i="9"/>
  <c r="S36" i="9"/>
  <c r="L37" i="9"/>
  <c r="S37" i="9"/>
  <c r="L38" i="9"/>
  <c r="S38" i="9"/>
  <c r="L39" i="9"/>
  <c r="S39" i="9"/>
  <c r="L40" i="9"/>
  <c r="S40" i="9"/>
  <c r="L41" i="9"/>
  <c r="S41" i="9"/>
  <c r="L42" i="9"/>
  <c r="S42" i="9"/>
  <c r="L43" i="9"/>
  <c r="S43" i="9"/>
  <c r="L44" i="9"/>
  <c r="S44" i="9"/>
  <c r="L45" i="9"/>
  <c r="S45" i="9"/>
  <c r="L46" i="9"/>
  <c r="S46" i="9"/>
  <c r="L47" i="9"/>
  <c r="S47" i="9"/>
  <c r="L48" i="9"/>
  <c r="S48" i="9"/>
  <c r="L49" i="9"/>
  <c r="S49" i="9"/>
  <c r="L50" i="9"/>
  <c r="S50" i="9"/>
  <c r="L51" i="9"/>
  <c r="S51" i="9"/>
  <c r="L52" i="9"/>
  <c r="S52" i="9"/>
  <c r="L53" i="9"/>
  <c r="S53" i="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C42" i="19"/>
  <c r="C43" i="19"/>
  <c r="D43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U56" i="19"/>
  <c r="AV56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</calcChain>
</file>

<file path=xl/sharedStrings.xml><?xml version="1.0" encoding="utf-8"?>
<sst xmlns="http://schemas.openxmlformats.org/spreadsheetml/2006/main" count="415" uniqueCount="272">
  <si>
    <t>Inflation</t>
  </si>
  <si>
    <t>COD</t>
  </si>
  <si>
    <t>Escalation of Capital</t>
  </si>
  <si>
    <t>Useful Economic Life/Depreciation Period (yrs.)</t>
  </si>
  <si>
    <t>% Equity</t>
  </si>
  <si>
    <t>% Debt</t>
  </si>
  <si>
    <t>ROE</t>
  </si>
  <si>
    <t>Tax Rate</t>
  </si>
  <si>
    <t>Interest Cost</t>
  </si>
  <si>
    <t>Plant Associated Cost Assumptions</t>
  </si>
  <si>
    <t>Economic Assumptions</t>
  </si>
  <si>
    <t>Tax Assumptions</t>
  </si>
  <si>
    <t>Escalation of Fuel Costs</t>
  </si>
  <si>
    <t>Finance Assumptions</t>
  </si>
  <si>
    <t>CCA Rate's</t>
  </si>
  <si>
    <t>Rate 1</t>
  </si>
  <si>
    <t>% of Capital</t>
  </si>
  <si>
    <t>Rate 2</t>
  </si>
  <si>
    <t>Rate 3</t>
  </si>
  <si>
    <t>Weighted Average CCA Rate</t>
  </si>
  <si>
    <t>Rate Base</t>
  </si>
  <si>
    <t>Opening</t>
  </si>
  <si>
    <t>Annual Depreciation</t>
  </si>
  <si>
    <t>Closing</t>
  </si>
  <si>
    <t>Revenue Requirement</t>
  </si>
  <si>
    <t>Taxes</t>
  </si>
  <si>
    <t>Average Rate Base</t>
  </si>
  <si>
    <t>Depreciation</t>
  </si>
  <si>
    <t>Total Revenue Requirement</t>
  </si>
  <si>
    <t>Claimed</t>
  </si>
  <si>
    <t>Ending</t>
  </si>
  <si>
    <t>Less:  Interest</t>
  </si>
  <si>
    <t>Current Losses</t>
  </si>
  <si>
    <t xml:space="preserve">CCA Balances </t>
  </si>
  <si>
    <t>Taxable Income before application of losses</t>
  </si>
  <si>
    <t>Losses Available for Carryforward</t>
  </si>
  <si>
    <t>Less:  Application of Losses</t>
  </si>
  <si>
    <t>Depreciation Period (Yrs.)</t>
  </si>
  <si>
    <t>Total Annual Depreciation</t>
  </si>
  <si>
    <t>On Peak</t>
  </si>
  <si>
    <t>Off Peak</t>
  </si>
  <si>
    <t>Losses</t>
  </si>
  <si>
    <t>Less:  Tax  Depreciation</t>
  </si>
  <si>
    <t>x</t>
  </si>
  <si>
    <t>NB OATT Charges</t>
  </si>
  <si>
    <t>ForEx</t>
  </si>
  <si>
    <t>Year of estimates</t>
  </si>
  <si>
    <t>Annual escalation</t>
  </si>
  <si>
    <t>ISO schedule 1 for TOT</t>
  </si>
  <si>
    <t>IO Schedule 2</t>
  </si>
  <si>
    <t>OATT - Schedule 2 VAR</t>
  </si>
  <si>
    <t>OATT - Schedule 8  TOUT</t>
  </si>
  <si>
    <t>GIS Costs</t>
  </si>
  <si>
    <t>Real Time Marginal Loss Revenue Allocation</t>
  </si>
  <si>
    <t>External Inadvertent Cost Distribution</t>
  </si>
  <si>
    <t>Regulation</t>
  </si>
  <si>
    <t>NCPC</t>
  </si>
  <si>
    <t>Total ISO Fees</t>
  </si>
  <si>
    <t xml:space="preserve">ISO Fees </t>
  </si>
  <si>
    <t>Export from NE</t>
  </si>
  <si>
    <t>Import to NE</t>
  </si>
  <si>
    <t>Taxes Payable</t>
  </si>
  <si>
    <t>MW</t>
  </si>
  <si>
    <t>MWh</t>
  </si>
  <si>
    <t>Capital</t>
  </si>
  <si>
    <t>Power Prices - US$/MWh</t>
  </si>
  <si>
    <t>Gas Prices - US$/MMBtu</t>
  </si>
  <si>
    <t>MassHub</t>
  </si>
  <si>
    <t>Henry Hub</t>
  </si>
  <si>
    <t>Differential</t>
  </si>
  <si>
    <t>ACG</t>
  </si>
  <si>
    <t>Dracut</t>
  </si>
  <si>
    <t>7 X 24</t>
  </si>
  <si>
    <t>Annualized</t>
  </si>
  <si>
    <t>Start Year</t>
  </si>
  <si>
    <t>Less:  ISO New England Fees (Exports from NE)</t>
  </si>
  <si>
    <t>Price at NB/US Border</t>
  </si>
  <si>
    <t>Plus:  Capacity Adder</t>
  </si>
  <si>
    <t>Price Before Losses</t>
  </si>
  <si>
    <t>ISO schedule 3 Exports</t>
  </si>
  <si>
    <t>OATT schedule 1 TOUT</t>
  </si>
  <si>
    <t>Foreign Exchange Assumptions</t>
  </si>
  <si>
    <t>Less:  NB Transmission (On Peak)</t>
  </si>
  <si>
    <t>Additions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</si>
  <si>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</si>
  <si>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</si>
  <si>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</si>
  <si>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</si>
  <si>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</si>
  <si>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</si>
  <si>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</si>
  <si>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</si>
  <si>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</si>
  <si>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Capacity Year = June - May</t>
  </si>
  <si>
    <t>2016/17</t>
  </si>
  <si>
    <t>Caapcity Year</t>
  </si>
  <si>
    <t>Calendar Year</t>
  </si>
  <si>
    <t>Nominal Escalation</t>
  </si>
  <si>
    <t>Nominal Calendar year Forecast - US$/kW-mo</t>
  </si>
  <si>
    <t>US$/MWh</t>
  </si>
  <si>
    <t>CAD$/MWh</t>
  </si>
  <si>
    <t>Mass Hub - On Peak - Base - +10%</t>
  </si>
  <si>
    <t>Mass Hub - Off Peak - Base - +10%</t>
  </si>
  <si>
    <t>Less:  NB Transmission (Off Peak)</t>
  </si>
  <si>
    <t>Capacity Market Forecast</t>
  </si>
  <si>
    <t>On Peak Revenue Requirement</t>
  </si>
  <si>
    <t>CAD $(000)</t>
  </si>
  <si>
    <t>Losses Applied</t>
  </si>
  <si>
    <t>Taxable Income After Application of Losses</t>
  </si>
  <si>
    <t>NSPI Transmission Costs Under NB OATT</t>
  </si>
  <si>
    <t>NS Power</t>
  </si>
  <si>
    <t>NB Power</t>
  </si>
  <si>
    <t>2003/04</t>
  </si>
  <si>
    <t>2008/09</t>
  </si>
  <si>
    <t>2015/16</t>
  </si>
  <si>
    <t>2050/51</t>
  </si>
  <si>
    <t>Nominal</t>
  </si>
  <si>
    <t>Capital upgrades ($M)</t>
  </si>
  <si>
    <t>Project</t>
  </si>
  <si>
    <t>Base</t>
  </si>
  <si>
    <t>IPL/NRI</t>
  </si>
  <si>
    <t>HQ/NS</t>
  </si>
  <si>
    <t>NS Direct</t>
  </si>
  <si>
    <t>Total Cost (NS#1+HQ#3)</t>
  </si>
  <si>
    <t>NS Tariff Share</t>
  </si>
  <si>
    <t>Net NB Tariff Cost</t>
  </si>
  <si>
    <t>Revenue Requirement ($M)</t>
  </si>
  <si>
    <t>Usage (MW)</t>
  </si>
  <si>
    <t>Network</t>
  </si>
  <si>
    <t>Long term firm</t>
  </si>
  <si>
    <t>Short term equivalent</t>
  </si>
  <si>
    <t>Total usage</t>
  </si>
  <si>
    <t>8=5+6+7</t>
  </si>
  <si>
    <t>9=4/8*1000</t>
  </si>
  <si>
    <t>Esc =</t>
  </si>
  <si>
    <t>NS Firm Reservation (MW)</t>
  </si>
  <si>
    <t>Annual charge</t>
  </si>
  <si>
    <t xml:space="preserve">2015 NPV </t>
  </si>
  <si>
    <t>Direct Assignment Charge</t>
  </si>
  <si>
    <t>NSPI Tariff Additions</t>
  </si>
  <si>
    <t>Total 2015 NPV cost</t>
  </si>
  <si>
    <t>Other Tx Customer Costs</t>
  </si>
  <si>
    <t>Annual Base Tariff Cost</t>
  </si>
  <si>
    <t>Share of Upgrade Costs</t>
  </si>
  <si>
    <t>NPV Total</t>
  </si>
  <si>
    <t>NPV Share</t>
  </si>
  <si>
    <t>Total Capital Cost, including AFUDC (2015 $000)</t>
  </si>
  <si>
    <t>NPV of Revenue Requirement</t>
  </si>
  <si>
    <t>Other Import Option - 500MW Firm</t>
  </si>
  <si>
    <t>Other Import Option - 500MW Firm Capital Recovery Portion</t>
  </si>
  <si>
    <t>Firm Energy Purchased</t>
  </si>
  <si>
    <t>Total Firm Energy Purchased</t>
  </si>
  <si>
    <t>Total Firm Energy Delivered</t>
  </si>
  <si>
    <t>Revenue Requirement from Investment in Transmission Capital</t>
  </si>
  <si>
    <t>$M</t>
  </si>
  <si>
    <t>$/kW/Yr</t>
  </si>
  <si>
    <t>Total Firm Energy Purchased - On Peak</t>
  </si>
  <si>
    <t>Total Firm Energy Purchased - Off Peak</t>
  </si>
  <si>
    <t>Energy Delivered</t>
  </si>
  <si>
    <t>Total Firm Energy Delivered - On Peak</t>
  </si>
  <si>
    <t>Total Firm Energy Delivered - Off Peak</t>
  </si>
  <si>
    <t>Firm On Peak Energy Delivered</t>
  </si>
  <si>
    <t>Energy Prices for Firm Energy Purchased (165MW)</t>
  </si>
  <si>
    <t>Firm Off Peak Energy Delivered</t>
  </si>
  <si>
    <t>Energy Purchased</t>
  </si>
  <si>
    <t>Fixed Annual Revenue Requirement</t>
  </si>
  <si>
    <t>Total Energy Delivered</t>
  </si>
  <si>
    <t>MassHub On Peak</t>
  </si>
  <si>
    <t>Less:  ISO NE Out</t>
  </si>
  <si>
    <t>Less:  NB Tx</t>
  </si>
  <si>
    <t>Sub Total</t>
  </si>
  <si>
    <t>Price at HQ/NB Border</t>
  </si>
  <si>
    <t>Less:  Tx to NS</t>
  </si>
  <si>
    <t>On Peak Excess Energy Sales</t>
  </si>
  <si>
    <t>NB Tx Charges are paid for as part of our Capital Investment so are not added here</t>
  </si>
  <si>
    <t>Off Peak Excess Energy Sales</t>
  </si>
  <si>
    <t>MassHub Off Peak</t>
  </si>
  <si>
    <t>Net Price Off Peak Price</t>
  </si>
  <si>
    <t>Base of price assumptions:</t>
  </si>
  <si>
    <t>HQ Sale</t>
  </si>
  <si>
    <t>Price backed up to HQ/NB Border</t>
  </si>
  <si>
    <t>Price = Mass Hub MINUS ISO charges MINUS New NB Tx</t>
  </si>
  <si>
    <t>EQUALS Price at NB/PQ Border</t>
  </si>
  <si>
    <t>EQUALS Price at NS Border</t>
  </si>
  <si>
    <t>No adder for transmission as it is included in our capital investment</t>
  </si>
  <si>
    <t>Plus  Tx to NS</t>
  </si>
  <si>
    <t>Levelized Prices</t>
  </si>
  <si>
    <t>Firm Capacity Purchased</t>
  </si>
  <si>
    <t>Based on 7 X 16</t>
  </si>
  <si>
    <t>Average Prices</t>
  </si>
  <si>
    <t>Net  On Peak Price delivered to NS</t>
  </si>
  <si>
    <t>Taxes (Assumes Losses are used elsewhere in corporation)</t>
  </si>
  <si>
    <t>27=25+26</t>
  </si>
  <si>
    <t>Total Cost Recovery</t>
  </si>
  <si>
    <t>26=3*10%</t>
  </si>
  <si>
    <t>Tariff End Effect (Year 35-45)</t>
  </si>
  <si>
    <t>25=16-15+21</t>
  </si>
  <si>
    <t>Total Tariff Recovery (35 yrs)</t>
  </si>
  <si>
    <t>Total Additional Cost vs Base</t>
  </si>
  <si>
    <t>23=21+22</t>
  </si>
  <si>
    <t>Total 2015 NPV Cost</t>
  </si>
  <si>
    <t>22=3*10%*Share</t>
  </si>
  <si>
    <t>End Effects Share</t>
  </si>
  <si>
    <t>21=npv(22)</t>
  </si>
  <si>
    <t>20=18-19</t>
  </si>
  <si>
    <t>18=17*9/1000</t>
  </si>
  <si>
    <t>Total Reservations</t>
  </si>
  <si>
    <t>16=12+13+14+15</t>
  </si>
  <si>
    <r>
      <t>15=3*10%*</t>
    </r>
    <r>
      <rPr>
        <i/>
        <sz val="8"/>
        <color indexed="8"/>
        <rFont val="Calibri"/>
        <family val="2"/>
      </rPr>
      <t>Share</t>
    </r>
  </si>
  <si>
    <t>14=2*125%</t>
  </si>
  <si>
    <r>
      <t>13=</t>
    </r>
    <r>
      <rPr>
        <i/>
        <sz val="8"/>
        <color indexed="8"/>
        <rFont val="Calibri"/>
        <family val="2"/>
      </rPr>
      <t>Direct*125%</t>
    </r>
  </si>
  <si>
    <t>12=npv(11)</t>
  </si>
  <si>
    <t>11=9*10/1000</t>
  </si>
  <si>
    <t>Nova Scotia Tariff costs ($M)</t>
  </si>
  <si>
    <t>Transmission Service</t>
  </si>
  <si>
    <t>Tariff ($/kW-yr)</t>
  </si>
  <si>
    <r>
      <t xml:space="preserve">4 </t>
    </r>
    <r>
      <rPr>
        <i/>
        <sz val="8"/>
        <color indexed="8"/>
        <rFont val="Calibri"/>
        <family val="2"/>
      </rPr>
      <t>(Note)</t>
    </r>
  </si>
  <si>
    <t>Transmission Service Rev Req</t>
  </si>
  <si>
    <r>
      <t>3=1-2-</t>
    </r>
    <r>
      <rPr>
        <i/>
        <sz val="8"/>
        <color indexed="8"/>
        <rFont val="Calibri"/>
        <family val="2"/>
      </rPr>
      <t>Direct</t>
    </r>
  </si>
  <si>
    <t>Base Case  - No Upgrades to the NB System</t>
  </si>
  <si>
    <t>Per 10 MW</t>
  </si>
  <si>
    <t>3=1-2</t>
  </si>
  <si>
    <t>Revenue Requirements ($M)</t>
  </si>
  <si>
    <t>4=1-2-3</t>
  </si>
  <si>
    <t>Ancillary Services</t>
  </si>
  <si>
    <t>System Control (Sched 1)</t>
  </si>
  <si>
    <t>Voltage Control (Sched 2)</t>
  </si>
  <si>
    <t>Total Compulsory AS</t>
  </si>
  <si>
    <t>7=5+6</t>
  </si>
  <si>
    <t>11=8+9+10</t>
  </si>
  <si>
    <t>Tariffs ($/kW-yr)</t>
  </si>
  <si>
    <t>12=4/11*1000</t>
  </si>
  <si>
    <t>13=7/11*1000</t>
  </si>
  <si>
    <t>Transmission Customer Costs ($M)</t>
  </si>
  <si>
    <t>14=11</t>
  </si>
  <si>
    <t>Tariff Annual charges</t>
  </si>
  <si>
    <t>15=14*12/1000</t>
  </si>
  <si>
    <t xml:space="preserve">Uniform Escalation from 2015 </t>
  </si>
  <si>
    <t>2015 NPV Tariff Cost</t>
  </si>
  <si>
    <t>16=npv(15)</t>
  </si>
  <si>
    <t>Inputs for Rate Base Model</t>
  </si>
  <si>
    <t>Contingency</t>
  </si>
  <si>
    <t>Year of Estimate</t>
  </si>
  <si>
    <t>Total Capital Cost, including AFUDC (2017 $000) WITH Contingency</t>
  </si>
  <si>
    <t>Total Capital Cost, including AFUDC (2015 $000) WITH Contingency</t>
  </si>
  <si>
    <t>Inputs for Firm Purchase Revenue Requirement</t>
  </si>
  <si>
    <t>Days of Energy Delivery</t>
  </si>
  <si>
    <t>Hours per Day</t>
  </si>
  <si>
    <t>On Peak days per week</t>
  </si>
  <si>
    <t>Off peak days per week</t>
  </si>
  <si>
    <t>Total Energy Purchased</t>
  </si>
  <si>
    <t>Total On Peak Energy Purchased</t>
  </si>
  <si>
    <t>Total Off Peak Energy Purchased</t>
  </si>
  <si>
    <t>Losses to Delivery Point</t>
  </si>
  <si>
    <t>New NB  Tariff Tranmssion Service</t>
  </si>
  <si>
    <t>Escalator</t>
  </si>
  <si>
    <t>Year</t>
  </si>
  <si>
    <t>New NB  Tariff Ancillary Services</t>
  </si>
  <si>
    <t>New NB OATT Charges</t>
  </si>
  <si>
    <t>NB OATT Ancilliary Services</t>
  </si>
  <si>
    <t>Firm Capacity Associated with Firm Purchase (MW)</t>
  </si>
  <si>
    <t>Total New Transmission Reservation</t>
  </si>
  <si>
    <t>Inputs for Numbers to V</t>
  </si>
  <si>
    <t>% of First year sale</t>
  </si>
  <si>
    <t>% of  Year's Sales applicable to Revenue Requirement</t>
  </si>
  <si>
    <t>Case HQ500Adj - 500 MW HQ to NS with Direct Assignment</t>
  </si>
  <si>
    <t>ESAI Nominal US$ - $/kW-mo</t>
  </si>
  <si>
    <t>ESAI  Nominal US$ - $/kW-mo</t>
  </si>
  <si>
    <t>OI Base Load Economy Energy Purchases from NB</t>
  </si>
  <si>
    <t>Purchase Cost OI Base Load EE</t>
  </si>
  <si>
    <t>GWh</t>
  </si>
  <si>
    <t>k$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</si>
</sst>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_(&quot;$&quot;\ #,##0_);_(&quot;$&quot;\ \(#,##0\);_(&quot;$&quot;\ &quot;0&quot;??_);_(@_)"/>
    <numFmt numFmtId="166" formatCode="0.0%"/>
    <numFmt numFmtId="167" formatCode="_(* #,##0_);_(* \(#,##0\);_(* &quot;-&quot;??_);_(@_)"/>
    <numFmt numFmtId="168" formatCode="&quot;Year&quot;\ 0"/>
    <numFmt numFmtId="169" formatCode="_(&quot;$&quot;\ #,##0.00_);_(&quot;$&quot;\ \(#,##0.00\);_(&quot;$&quot;\ &quot;-&quot;??_);_(@_)"/>
    <numFmt numFmtId="170" formatCode="[$-409]d\-mmm;@"/>
    <numFmt numFmtId="171" formatCode="0.0"/>
    <numFmt numFmtId="172" formatCode="_(\ #,##0_);_(* \(#,##0\);_(* &quot;-&quot;??_);_(@_)"/>
    <numFmt numFmtId="173" formatCode="&quot;$&quot;#,##0.0_);\(&quot;$&quot;#,##0.0\)"/>
    <numFmt numFmtId="174" formatCode="&quot;Hours per Year&quot;\ #,##0_);_(* \(#,##0\);_(* &quot;-&quot;??_);_(@_)"/>
    <numFmt numFmtId="175" formatCode="0.000%"/>
    <numFmt numFmtId="176" formatCode="&quot;Annual Esc.&quot;\ 0.00%"/>
    <numFmt numFmtId="177" formatCode="0.0%\ &quot;Contingency&quot;"/>
    <numFmt numFmtId="178" formatCode="0.000"/>
    <numFmt numFmtId="179" formatCode="_(&quot;$&quot;\ #,##0.00_);_(&quot;$&quot;\ \(#,##0.00\);_(&quot;$&quot;\ &quot;0&quot;??_);_(@_)"/>
    <numFmt numFmtId="180" formatCode="&quot;$&quot;#,##0.0"/>
    <numFmt numFmtId="181" formatCode="&quot;$&quot;#,##0.00"/>
  </numFmts>
  <fonts count="4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2"/>
      <color theme="1"/>
      <name val="Calibri"/>
      <family val="2"/>
    </font>
    <font>
      <b/>
      <sz val="10"/>
      <color rgb="FFFF6699"/>
      <name val="Calibri"/>
      <family val="2"/>
    </font>
    <font>
      <b/>
      <sz val="12"/>
      <color rgb="FF0070C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4"/>
      <color theme="0"/>
      <name val="Calibri"/>
      <family val="2"/>
    </font>
    <font>
      <sz val="10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b/>
      <i/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</font>
    <font>
      <b/>
      <sz val="8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i/>
      <sz val="8"/>
      <color rgb="FF0070C0"/>
      <name val="Calibri"/>
      <family val="2"/>
    </font>
    <font>
      <sz val="12"/>
      <color rgb="FF0070C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8"/>
      <color indexed="8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169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70" fontId="11" fillId="0" borderId="0"/>
    <xf numFmtId="170" fontId="11" fillId="0" borderId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wrapText="1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3" applyNumberFormat="1" applyFont="1" applyAlignment="1">
      <alignment vertical="center"/>
    </xf>
    <xf numFmtId="166" fontId="4" fillId="0" borderId="0" xfId="3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9" fontId="2" fillId="0" borderId="0" xfId="3" applyFont="1" applyAlignment="1">
      <alignment vertical="center"/>
    </xf>
    <xf numFmtId="9" fontId="4" fillId="0" borderId="0" xfId="3" applyFont="1" applyAlignment="1">
      <alignment vertical="center"/>
    </xf>
    <xf numFmtId="165" fontId="4" fillId="0" borderId="2" xfId="2" applyNumberFormat="1" applyFont="1" applyBorder="1" applyAlignment="1">
      <alignment vertical="center"/>
    </xf>
    <xf numFmtId="165" fontId="6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5" fillId="0" borderId="0" xfId="0" applyNumberFormat="1" applyFont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5" fontId="4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7" fontId="4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5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166" fontId="2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3" applyNumberFormat="1" applyFont="1" applyFill="1" applyAlignment="1">
      <alignment vertical="center"/>
    </xf>
    <xf numFmtId="9" fontId="5" fillId="0" borderId="0" xfId="3" applyFont="1" applyFill="1" applyAlignment="1">
      <alignment vertical="center"/>
    </xf>
    <xf numFmtId="5" fontId="4" fillId="0" borderId="0" xfId="2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5" fontId="6" fillId="0" borderId="0" xfId="0" applyNumberFormat="1" applyFont="1" applyAlignment="1">
      <alignment vertical="center"/>
    </xf>
    <xf numFmtId="44" fontId="0" fillId="0" borderId="0" xfId="2" applyFont="1" applyAlignment="1">
      <alignment vertical="center"/>
    </xf>
    <xf numFmtId="8" fontId="13" fillId="0" borderId="0" xfId="10" applyNumberFormat="1" applyFont="1" applyFill="1" applyAlignment="1">
      <alignment horizontal="center"/>
    </xf>
    <xf numFmtId="44" fontId="13" fillId="0" borderId="0" xfId="7" applyFont="1" applyFill="1" applyAlignment="1">
      <alignment horizontal="center"/>
    </xf>
    <xf numFmtId="8" fontId="13" fillId="0" borderId="0" xfId="7" applyNumberFormat="1" applyFont="1" applyFill="1" applyAlignment="1">
      <alignment horizontal="center"/>
    </xf>
    <xf numFmtId="17" fontId="13" fillId="0" borderId="0" xfId="10" applyNumberFormat="1" applyFont="1" applyFill="1" applyAlignment="1">
      <alignment horizontal="right"/>
    </xf>
    <xf numFmtId="0" fontId="14" fillId="0" borderId="0" xfId="10" applyNumberFormat="1" applyFont="1" applyFill="1" applyAlignment="1">
      <alignment horizontal="right" vertical="center"/>
    </xf>
    <xf numFmtId="8" fontId="13" fillId="0" borderId="0" xfId="10" applyNumberFormat="1" applyFont="1" applyFill="1" applyAlignment="1">
      <alignment horizontal="center" vertical="center"/>
    </xf>
    <xf numFmtId="0" fontId="0" fillId="0" borderId="0" xfId="0" applyFill="1"/>
    <xf numFmtId="169" fontId="4" fillId="0" borderId="6" xfId="0" applyNumberFormat="1" applyFont="1" applyFill="1" applyBorder="1" applyAlignment="1">
      <alignment horizontal="center"/>
    </xf>
    <xf numFmtId="169" fontId="4" fillId="0" borderId="5" xfId="0" applyNumberFormat="1" applyFont="1" applyFill="1" applyBorder="1" applyAlignment="1">
      <alignment horizontal="center"/>
    </xf>
    <xf numFmtId="7" fontId="4" fillId="0" borderId="6" xfId="0" applyNumberFormat="1" applyFont="1" applyFill="1" applyBorder="1" applyAlignment="1">
      <alignment horizontal="center"/>
    </xf>
    <xf numFmtId="17" fontId="17" fillId="0" borderId="0" xfId="0" applyNumberFormat="1" applyFont="1" applyFill="1"/>
    <xf numFmtId="169" fontId="0" fillId="0" borderId="0" xfId="0" applyNumberForma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7" fontId="0" fillId="0" borderId="0" xfId="0" applyNumberForma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indent="1"/>
    </xf>
    <xf numFmtId="7" fontId="4" fillId="0" borderId="0" xfId="0" applyNumberFormat="1" applyFont="1" applyFill="1" applyAlignment="1">
      <alignment horizontal="center"/>
    </xf>
    <xf numFmtId="7" fontId="4" fillId="0" borderId="2" xfId="0" applyNumberFormat="1" applyFont="1" applyFill="1" applyBorder="1" applyAlignment="1">
      <alignment horizontal="center"/>
    </xf>
    <xf numFmtId="7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3" applyNumberFormat="1" applyFont="1" applyFill="1" applyAlignment="1">
      <alignment horizontal="center"/>
    </xf>
    <xf numFmtId="0" fontId="2" fillId="0" borderId="0" xfId="0" applyFont="1" applyFill="1"/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indent="1"/>
    </xf>
    <xf numFmtId="0" fontId="9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vertical="center"/>
    </xf>
    <xf numFmtId="0" fontId="0" fillId="2" borderId="3" xfId="0" applyFill="1" applyBorder="1"/>
    <xf numFmtId="0" fontId="3" fillId="0" borderId="0" xfId="0" applyFont="1" applyFill="1" applyAlignment="1">
      <alignment horizontal="center" wrapText="1"/>
    </xf>
    <xf numFmtId="0" fontId="13" fillId="0" borderId="0" xfId="10" applyNumberFormat="1" applyFont="1" applyFill="1" applyAlignment="1">
      <alignment horizontal="center" vertical="center"/>
    </xf>
    <xf numFmtId="9" fontId="2" fillId="0" borderId="6" xfId="3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wrapText="1"/>
    </xf>
    <xf numFmtId="172" fontId="4" fillId="0" borderId="5" xfId="1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72" fontId="4" fillId="0" borderId="6" xfId="1" applyNumberFormat="1" applyFont="1" applyFill="1" applyBorder="1" applyAlignment="1">
      <alignment horizontal="center" vertical="center"/>
    </xf>
    <xf numFmtId="172" fontId="4" fillId="0" borderId="7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23" fillId="0" borderId="0" xfId="16"/>
    <xf numFmtId="0" fontId="23" fillId="0" borderId="0" xfId="16" applyAlignment="1">
      <alignment horizontal="center"/>
    </xf>
    <xf numFmtId="2" fontId="23" fillId="0" borderId="0" xfId="16" applyNumberFormat="1"/>
    <xf numFmtId="171" fontId="23" fillId="0" borderId="0" xfId="16" applyNumberFormat="1"/>
    <xf numFmtId="0" fontId="23" fillId="0" borderId="2" xfId="16" applyBorder="1"/>
    <xf numFmtId="0" fontId="23" fillId="0" borderId="0" xfId="16" applyFill="1" applyBorder="1"/>
    <xf numFmtId="0" fontId="27" fillId="0" borderId="0" xfId="16" applyFont="1" applyAlignment="1">
      <alignment horizontal="center"/>
    </xf>
    <xf numFmtId="0" fontId="27" fillId="0" borderId="2" xfId="16" applyFont="1" applyBorder="1" applyAlignment="1">
      <alignment horizontal="center"/>
    </xf>
    <xf numFmtId="171" fontId="23" fillId="0" borderId="2" xfId="16" applyNumberFormat="1" applyBorder="1"/>
    <xf numFmtId="0" fontId="27" fillId="0" borderId="0" xfId="16" applyFont="1" applyFill="1" applyBorder="1" applyAlignment="1">
      <alignment horizontal="center"/>
    </xf>
    <xf numFmtId="10" fontId="23" fillId="0" borderId="0" xfId="16" applyNumberFormat="1"/>
    <xf numFmtId="171" fontId="26" fillId="0" borderId="0" xfId="16" applyNumberFormat="1" applyFont="1"/>
    <xf numFmtId="10" fontId="23" fillId="0" borderId="0" xfId="17" applyNumberFormat="1" applyFont="1"/>
    <xf numFmtId="9" fontId="23" fillId="0" borderId="0" xfId="17" applyFont="1"/>
    <xf numFmtId="166" fontId="5" fillId="0" borderId="0" xfId="3" applyNumberFormat="1" applyFont="1" applyAlignment="1">
      <alignment vertical="center"/>
    </xf>
    <xf numFmtId="8" fontId="0" fillId="0" borderId="0" xfId="2" applyNumberFormat="1" applyFont="1" applyAlignment="1">
      <alignment vertical="center"/>
    </xf>
    <xf numFmtId="8" fontId="0" fillId="0" borderId="2" xfId="2" applyNumberFormat="1" applyFont="1" applyBorder="1" applyAlignment="1">
      <alignment vertical="center"/>
    </xf>
    <xf numFmtId="8" fontId="3" fillId="0" borderId="0" xfId="2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9" fillId="6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/>
    </xf>
    <xf numFmtId="5" fontId="4" fillId="0" borderId="6" xfId="0" applyNumberFormat="1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173" fontId="4" fillId="0" borderId="6" xfId="0" applyNumberFormat="1" applyFont="1" applyBorder="1" applyAlignment="1">
      <alignment horizontal="center" vertical="center"/>
    </xf>
    <xf numFmtId="173" fontId="4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/>
    <xf numFmtId="0" fontId="21" fillId="4" borderId="15" xfId="0" applyFont="1" applyFill="1" applyBorder="1" applyAlignment="1">
      <alignment vertical="center"/>
    </xf>
    <xf numFmtId="0" fontId="0" fillId="4" borderId="0" xfId="0" applyFill="1" applyBorder="1"/>
    <xf numFmtId="0" fontId="21" fillId="5" borderId="10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169" fontId="4" fillId="0" borderId="6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7" fontId="4" fillId="0" borderId="6" xfId="0" applyNumberFormat="1" applyFont="1" applyBorder="1" applyAlignment="1">
      <alignment horizontal="center" vertical="center"/>
    </xf>
    <xf numFmtId="7" fontId="6" fillId="0" borderId="6" xfId="0" applyNumberFormat="1" applyFont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7" fontId="4" fillId="0" borderId="7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1" fillId="5" borderId="12" xfId="0" applyFont="1" applyFill="1" applyBorder="1" applyAlignment="1">
      <alignment vertical="center"/>
    </xf>
    <xf numFmtId="0" fontId="0" fillId="5" borderId="11" xfId="0" applyFill="1" applyBorder="1"/>
    <xf numFmtId="0" fontId="0" fillId="5" borderId="2" xfId="0" applyFill="1" applyBorder="1"/>
    <xf numFmtId="0" fontId="0" fillId="5" borderId="13" xfId="0" applyFill="1" applyBorder="1"/>
    <xf numFmtId="0" fontId="22" fillId="0" borderId="1" xfId="0" applyNumberFormat="1" applyFont="1" applyFill="1" applyBorder="1" applyAlignment="1">
      <alignment wrapText="1"/>
    </xf>
    <xf numFmtId="0" fontId="0" fillId="0" borderId="18" xfId="0" applyBorder="1"/>
    <xf numFmtId="0" fontId="0" fillId="0" borderId="16" xfId="0" applyBorder="1"/>
    <xf numFmtId="169" fontId="4" fillId="0" borderId="7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/>
    </xf>
    <xf numFmtId="0" fontId="31" fillId="4" borderId="0" xfId="0" applyFont="1" applyFill="1" applyBorder="1"/>
    <xf numFmtId="0" fontId="0" fillId="0" borderId="0" xfId="0" applyBorder="1"/>
    <xf numFmtId="0" fontId="0" fillId="0" borderId="1" xfId="0" applyBorder="1"/>
    <xf numFmtId="173" fontId="4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/>
    <xf numFmtId="0" fontId="6" fillId="0" borderId="1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/>
    <xf numFmtId="0" fontId="6" fillId="0" borderId="10" xfId="0" applyFont="1" applyFill="1" applyBorder="1" applyAlignment="1">
      <alignment horizontal="center" wrapText="1"/>
    </xf>
    <xf numFmtId="0" fontId="4" fillId="0" borderId="7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wrapText="1"/>
    </xf>
    <xf numFmtId="174" fontId="32" fillId="0" borderId="2" xfId="1" applyNumberFormat="1" applyFont="1" applyFill="1" applyBorder="1" applyAlignment="1">
      <alignment horizontal="center"/>
    </xf>
    <xf numFmtId="174" fontId="32" fillId="0" borderId="2" xfId="1" applyNumberFormat="1" applyFont="1" applyFill="1" applyBorder="1" applyAlignment="1">
      <alignment horizontal="center" wrapText="1"/>
    </xf>
    <xf numFmtId="174" fontId="32" fillId="0" borderId="13" xfId="1" applyNumberFormat="1" applyFont="1" applyFill="1" applyBorder="1" applyAlignment="1">
      <alignment horizontal="center" wrapText="1"/>
    </xf>
    <xf numFmtId="174" fontId="29" fillId="0" borderId="2" xfId="1" applyNumberFormat="1" applyFont="1" applyFill="1" applyBorder="1" applyAlignment="1">
      <alignment horizontal="center" wrapText="1"/>
    </xf>
    <xf numFmtId="174" fontId="29" fillId="0" borderId="13" xfId="1" applyNumberFormat="1" applyFont="1" applyFill="1" applyBorder="1" applyAlignment="1">
      <alignment horizontal="center" wrapText="1"/>
    </xf>
    <xf numFmtId="0" fontId="20" fillId="0" borderId="5" xfId="0" applyNumberFormat="1" applyFont="1" applyFill="1" applyBorder="1"/>
    <xf numFmtId="172" fontId="20" fillId="0" borderId="15" xfId="1" applyNumberFormat="1" applyFont="1" applyFill="1" applyBorder="1" applyAlignment="1">
      <alignment horizontal="center"/>
    </xf>
    <xf numFmtId="172" fontId="20" fillId="0" borderId="12" xfId="1" applyNumberFormat="1" applyFont="1" applyFill="1" applyBorder="1" applyAlignment="1">
      <alignment horizontal="center"/>
    </xf>
    <xf numFmtId="172" fontId="20" fillId="0" borderId="10" xfId="1" applyNumberFormat="1" applyFont="1" applyFill="1" applyBorder="1" applyAlignment="1">
      <alignment horizontal="center"/>
    </xf>
    <xf numFmtId="0" fontId="20" fillId="0" borderId="6" xfId="0" applyNumberFormat="1" applyFont="1" applyFill="1" applyBorder="1"/>
    <xf numFmtId="172" fontId="20" fillId="0" borderId="0" xfId="1" applyNumberFormat="1" applyFont="1" applyFill="1" applyBorder="1" applyAlignment="1">
      <alignment horizontal="center"/>
    </xf>
    <xf numFmtId="172" fontId="20" fillId="0" borderId="14" xfId="1" applyNumberFormat="1" applyFont="1" applyFill="1" applyBorder="1" applyAlignment="1">
      <alignment horizontal="center"/>
    </xf>
    <xf numFmtId="10" fontId="20" fillId="0" borderId="6" xfId="0" applyNumberFormat="1" applyFont="1" applyFill="1" applyBorder="1" applyAlignment="1">
      <alignment horizontal="center"/>
    </xf>
    <xf numFmtId="172" fontId="20" fillId="0" borderId="9" xfId="1" applyNumberFormat="1" applyFont="1" applyFill="1" applyBorder="1" applyAlignment="1">
      <alignment horizontal="center"/>
    </xf>
    <xf numFmtId="0" fontId="20" fillId="0" borderId="7" xfId="0" applyNumberFormat="1" applyFont="1" applyFill="1" applyBorder="1"/>
    <xf numFmtId="172" fontId="20" fillId="0" borderId="2" xfId="1" applyNumberFormat="1" applyFont="1" applyFill="1" applyBorder="1" applyAlignment="1">
      <alignment horizontal="center"/>
    </xf>
    <xf numFmtId="172" fontId="20" fillId="0" borderId="13" xfId="1" applyNumberFormat="1" applyFont="1" applyFill="1" applyBorder="1" applyAlignment="1">
      <alignment horizontal="center"/>
    </xf>
    <xf numFmtId="10" fontId="20" fillId="0" borderId="7" xfId="0" applyNumberFormat="1" applyFont="1" applyFill="1" applyBorder="1" applyAlignment="1">
      <alignment horizontal="center"/>
    </xf>
    <xf numFmtId="172" fontId="20" fillId="0" borderId="11" xfId="1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vertical="center"/>
    </xf>
    <xf numFmtId="0" fontId="0" fillId="0" borderId="6" xfId="0" applyFill="1" applyBorder="1"/>
    <xf numFmtId="0" fontId="20" fillId="0" borderId="6" xfId="0" applyNumberFormat="1" applyFont="1" applyFill="1" applyBorder="1" applyAlignment="1">
      <alignment horizontal="center"/>
    </xf>
    <xf numFmtId="0" fontId="20" fillId="0" borderId="7" xfId="0" applyNumberFormat="1" applyFont="1" applyFill="1" applyBorder="1" applyAlignment="1">
      <alignment horizontal="center"/>
    </xf>
    <xf numFmtId="7" fontId="4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/>
    <xf numFmtId="17" fontId="4" fillId="2" borderId="7" xfId="0" applyNumberFormat="1" applyFont="1" applyFill="1" applyBorder="1" applyAlignment="1">
      <alignment horizontal="center"/>
    </xf>
    <xf numFmtId="17" fontId="4" fillId="0" borderId="0" xfId="0" applyNumberFormat="1" applyFont="1" applyFill="1"/>
    <xf numFmtId="17" fontId="4" fillId="0" borderId="7" xfId="0" applyNumberFormat="1" applyFont="1" applyFill="1" applyBorder="1"/>
    <xf numFmtId="17" fontId="4" fillId="0" borderId="6" xfId="0" applyNumberFormat="1" applyFont="1" applyFill="1" applyBorder="1"/>
    <xf numFmtId="17" fontId="4" fillId="0" borderId="0" xfId="0" applyNumberFormat="1" applyFont="1" applyFill="1" applyBorder="1"/>
    <xf numFmtId="17" fontId="6" fillId="0" borderId="0" xfId="0" applyNumberFormat="1" applyFont="1" applyFill="1" applyBorder="1"/>
    <xf numFmtId="166" fontId="4" fillId="0" borderId="0" xfId="3" applyNumberFormat="1" applyFont="1" applyFill="1" applyBorder="1"/>
    <xf numFmtId="17" fontId="34" fillId="0" borderId="0" xfId="0" applyNumberFormat="1" applyFont="1" applyFill="1"/>
    <xf numFmtId="17" fontId="35" fillId="2" borderId="7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/>
    <xf numFmtId="0" fontId="9" fillId="2" borderId="5" xfId="0" applyFont="1" applyFill="1" applyBorder="1" applyAlignment="1">
      <alignment horizontal="center" wrapText="1"/>
    </xf>
    <xf numFmtId="0" fontId="36" fillId="0" borderId="0" xfId="0" applyFont="1" applyFill="1"/>
    <xf numFmtId="0" fontId="36" fillId="0" borderId="0" xfId="0" applyFont="1"/>
    <xf numFmtId="7" fontId="4" fillId="2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23" fillId="0" borderId="13" xfId="16" applyBorder="1"/>
    <xf numFmtId="166" fontId="23" fillId="0" borderId="2" xfId="17" applyNumberFormat="1" applyFont="1" applyBorder="1"/>
    <xf numFmtId="1" fontId="23" fillId="0" borderId="2" xfId="16" applyNumberFormat="1" applyBorder="1"/>
    <xf numFmtId="0" fontId="27" fillId="0" borderId="2" xfId="16" applyFont="1" applyFill="1" applyBorder="1" applyAlignment="1">
      <alignment horizontal="center"/>
    </xf>
    <xf numFmtId="0" fontId="23" fillId="0" borderId="2" xfId="16" applyFill="1" applyBorder="1"/>
    <xf numFmtId="0" fontId="23" fillId="0" borderId="11" xfId="16" applyBorder="1"/>
    <xf numFmtId="0" fontId="23" fillId="0" borderId="14" xfId="16" applyBorder="1"/>
    <xf numFmtId="166" fontId="23" fillId="0" borderId="2" xfId="16" applyNumberFormat="1" applyBorder="1"/>
    <xf numFmtId="0" fontId="23" fillId="0" borderId="9" xfId="16" applyBorder="1"/>
    <xf numFmtId="166" fontId="23" fillId="0" borderId="0" xfId="17" applyNumberFormat="1" applyFont="1" applyBorder="1"/>
    <xf numFmtId="1" fontId="23" fillId="0" borderId="0" xfId="16" applyNumberFormat="1" applyBorder="1"/>
    <xf numFmtId="0" fontId="23" fillId="0" borderId="0" xfId="16" applyBorder="1"/>
    <xf numFmtId="0" fontId="27" fillId="0" borderId="0" xfId="16" applyFont="1" applyBorder="1" applyAlignment="1">
      <alignment horizontal="center"/>
    </xf>
    <xf numFmtId="171" fontId="26" fillId="0" borderId="2" xfId="16" applyNumberFormat="1" applyFont="1" applyBorder="1"/>
    <xf numFmtId="0" fontId="27" fillId="0" borderId="2" xfId="16" applyFont="1" applyBorder="1"/>
    <xf numFmtId="171" fontId="26" fillId="0" borderId="0" xfId="16" applyNumberFormat="1" applyFont="1" applyBorder="1"/>
    <xf numFmtId="2" fontId="23" fillId="0" borderId="0" xfId="16" applyNumberFormat="1" applyBorder="1"/>
    <xf numFmtId="171" fontId="23" fillId="0" borderId="0" xfId="16" applyNumberFormat="1" applyBorder="1"/>
    <xf numFmtId="0" fontId="27" fillId="0" borderId="0" xfId="16" applyFont="1" applyBorder="1"/>
    <xf numFmtId="0" fontId="25" fillId="0" borderId="0" xfId="16" applyFont="1" applyBorder="1"/>
    <xf numFmtId="0" fontId="25" fillId="0" borderId="9" xfId="16" applyFont="1" applyBorder="1"/>
    <xf numFmtId="0" fontId="26" fillId="0" borderId="0" xfId="16" applyFont="1" applyBorder="1"/>
    <xf numFmtId="0" fontId="23" fillId="0" borderId="0" xfId="16" quotePrefix="1" applyBorder="1"/>
    <xf numFmtId="0" fontId="23" fillId="0" borderId="0" xfId="16" applyBorder="1" applyAlignment="1">
      <alignment horizontal="right"/>
    </xf>
    <xf numFmtId="2" fontId="23" fillId="0" borderId="14" xfId="16" applyNumberFormat="1" applyBorder="1"/>
    <xf numFmtId="0" fontId="40" fillId="0" borderId="0" xfId="16" applyFont="1" applyBorder="1"/>
    <xf numFmtId="0" fontId="25" fillId="0" borderId="14" xfId="16" applyFont="1" applyBorder="1" applyAlignment="1">
      <alignment horizontal="center"/>
    </xf>
    <xf numFmtId="0" fontId="23" fillId="0" borderId="0" xfId="16" applyBorder="1" applyAlignment="1">
      <alignment horizontal="center"/>
    </xf>
    <xf numFmtId="0" fontId="24" fillId="0" borderId="0" xfId="16" quotePrefix="1" applyFont="1" applyBorder="1"/>
    <xf numFmtId="0" fontId="23" fillId="0" borderId="12" xfId="16" applyBorder="1"/>
    <xf numFmtId="0" fontId="23" fillId="0" borderId="15" xfId="16" applyBorder="1"/>
    <xf numFmtId="0" fontId="24" fillId="0" borderId="15" xfId="16" applyFont="1" applyBorder="1"/>
    <xf numFmtId="0" fontId="23" fillId="0" borderId="10" xfId="16" applyBorder="1"/>
    <xf numFmtId="171" fontId="30" fillId="7" borderId="0" xfId="16" applyNumberFormat="1" applyFont="1" applyFill="1" applyBorder="1"/>
    <xf numFmtId="176" fontId="37" fillId="7" borderId="0" xfId="3" applyNumberFormat="1" applyFont="1" applyFill="1" applyAlignment="1">
      <alignment horizontal="center"/>
    </xf>
    <xf numFmtId="177" fontId="2" fillId="0" borderId="0" xfId="3" applyNumberFormat="1" applyFont="1" applyFill="1" applyAlignment="1">
      <alignment vertical="center"/>
    </xf>
    <xf numFmtId="0" fontId="24" fillId="0" borderId="0" xfId="16" applyFont="1"/>
    <xf numFmtId="0" fontId="24" fillId="0" borderId="0" xfId="16" quotePrefix="1" applyFont="1"/>
    <xf numFmtId="0" fontId="25" fillId="0" borderId="0" xfId="16" applyFont="1"/>
    <xf numFmtId="0" fontId="26" fillId="0" borderId="0" xfId="16" applyFont="1"/>
    <xf numFmtId="0" fontId="40" fillId="0" borderId="0" xfId="16" applyFont="1"/>
    <xf numFmtId="0" fontId="27" fillId="0" borderId="0" xfId="16" applyFont="1"/>
    <xf numFmtId="1" fontId="23" fillId="0" borderId="0" xfId="16" applyNumberFormat="1"/>
    <xf numFmtId="0" fontId="27" fillId="0" borderId="0" xfId="16" quotePrefix="1" applyFont="1" applyAlignment="1">
      <alignment horizontal="center"/>
    </xf>
    <xf numFmtId="0" fontId="41" fillId="0" borderId="0" xfId="16" applyFont="1"/>
    <xf numFmtId="1" fontId="41" fillId="0" borderId="0" xfId="16" applyNumberFormat="1" applyFont="1"/>
    <xf numFmtId="175" fontId="23" fillId="0" borderId="0" xfId="16" applyNumberFormat="1"/>
    <xf numFmtId="0" fontId="23" fillId="0" borderId="0" xfId="16" quotePrefix="1"/>
    <xf numFmtId="1" fontId="26" fillId="0" borderId="0" xfId="16" applyNumberFormat="1" applyFont="1"/>
    <xf numFmtId="1" fontId="25" fillId="0" borderId="0" xfId="16" applyNumberFormat="1" applyFont="1"/>
    <xf numFmtId="178" fontId="23" fillId="0" borderId="0" xfId="16" applyNumberFormat="1"/>
    <xf numFmtId="9" fontId="2" fillId="0" borderId="0" xfId="3" applyFont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/>
    <xf numFmtId="5" fontId="2" fillId="0" borderId="0" xfId="2" applyNumberFormat="1" applyFont="1" applyFill="1" applyAlignment="1">
      <alignment vertical="center"/>
    </xf>
    <xf numFmtId="5" fontId="6" fillId="0" borderId="0" xfId="2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6" fontId="6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2" fontId="4" fillId="0" borderId="0" xfId="1" applyNumberFormat="1" applyFont="1" applyAlignment="1">
      <alignment horizontal="center"/>
    </xf>
    <xf numFmtId="10" fontId="16" fillId="0" borderId="0" xfId="3" applyNumberFormat="1" applyFont="1" applyFill="1" applyBorder="1" applyAlignment="1">
      <alignment horizontal="center"/>
    </xf>
    <xf numFmtId="10" fontId="6" fillId="0" borderId="0" xfId="3" applyNumberFormat="1" applyFont="1" applyFill="1" applyAlignment="1">
      <alignment horizontal="center"/>
    </xf>
    <xf numFmtId="173" fontId="4" fillId="0" borderId="5" xfId="0" applyNumberFormat="1" applyFont="1" applyFill="1" applyBorder="1" applyAlignment="1">
      <alignment horizontal="center" vertical="center"/>
    </xf>
    <xf numFmtId="173" fontId="4" fillId="0" borderId="6" xfId="0" applyNumberFormat="1" applyFont="1" applyFill="1" applyBorder="1" applyAlignment="1">
      <alignment horizontal="center" vertical="center"/>
    </xf>
    <xf numFmtId="173" fontId="4" fillId="0" borderId="7" xfId="0" applyNumberFormat="1" applyFont="1" applyFill="1" applyBorder="1" applyAlignment="1">
      <alignment horizontal="center" vertical="center"/>
    </xf>
    <xf numFmtId="7" fontId="2" fillId="0" borderId="0" xfId="2" applyNumberFormat="1" applyFont="1" applyFill="1" applyAlignment="1">
      <alignment horizontal="center" vertical="center"/>
    </xf>
    <xf numFmtId="10" fontId="2" fillId="0" borderId="0" xfId="3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2" fillId="0" borderId="0" xfId="3" applyFont="1" applyFill="1" applyAlignment="1">
      <alignment vertical="center"/>
    </xf>
    <xf numFmtId="179" fontId="4" fillId="0" borderId="0" xfId="2" applyNumberFormat="1" applyFont="1" applyAlignment="1">
      <alignment vertical="center"/>
    </xf>
    <xf numFmtId="7" fontId="0" fillId="0" borderId="0" xfId="0" applyNumberFormat="1" applyAlignment="1">
      <alignment vertical="center"/>
    </xf>
    <xf numFmtId="10" fontId="20" fillId="0" borderId="5" xfId="0" applyNumberFormat="1" applyFont="1" applyFill="1" applyBorder="1" applyAlignment="1">
      <alignment horizontal="center"/>
    </xf>
    <xf numFmtId="172" fontId="42" fillId="8" borderId="10" xfId="1" applyNumberFormat="1" applyFont="1" applyFill="1" applyBorder="1" applyAlignment="1">
      <alignment horizontal="center"/>
    </xf>
    <xf numFmtId="172" fontId="42" fillId="8" borderId="15" xfId="1" applyNumberFormat="1" applyFont="1" applyFill="1" applyBorder="1" applyAlignment="1">
      <alignment horizontal="center"/>
    </xf>
    <xf numFmtId="172" fontId="42" fillId="8" borderId="12" xfId="1" applyNumberFormat="1" applyFont="1" applyFill="1" applyBorder="1" applyAlignment="1">
      <alignment horizontal="center"/>
    </xf>
    <xf numFmtId="172" fontId="4" fillId="0" borderId="9" xfId="1" applyNumberFormat="1" applyFont="1" applyFill="1" applyBorder="1" applyAlignment="1">
      <alignment horizontal="center" vertical="center"/>
    </xf>
    <xf numFmtId="172" fontId="4" fillId="0" borderId="11" xfId="1" applyNumberFormat="1" applyFont="1" applyFill="1" applyBorder="1" applyAlignment="1">
      <alignment horizontal="center" vertical="center"/>
    </xf>
    <xf numFmtId="172" fontId="4" fillId="0" borderId="10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69" fontId="4" fillId="0" borderId="14" xfId="0" applyNumberFormat="1" applyFont="1" applyFill="1" applyBorder="1" applyAlignment="1">
      <alignment horizontal="center"/>
    </xf>
    <xf numFmtId="169" fontId="4" fillId="0" borderId="11" xfId="0" applyNumberFormat="1" applyFont="1" applyFill="1" applyBorder="1" applyAlignment="1">
      <alignment horizontal="center"/>
    </xf>
    <xf numFmtId="7" fontId="2" fillId="0" borderId="6" xfId="0" applyNumberFormat="1" applyFont="1" applyBorder="1" applyAlignment="1">
      <alignment horizontal="center" vertical="center"/>
    </xf>
    <xf numFmtId="7" fontId="5" fillId="0" borderId="6" xfId="0" applyNumberFormat="1" applyFont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171" fontId="26" fillId="0" borderId="13" xfId="16" applyNumberFormat="1" applyFont="1" applyBorder="1"/>
    <xf numFmtId="175" fontId="23" fillId="0" borderId="14" xfId="16" applyNumberFormat="1" applyBorder="1"/>
    <xf numFmtId="10" fontId="23" fillId="0" borderId="14" xfId="17" applyNumberFormat="1" applyFont="1" applyBorder="1"/>
    <xf numFmtId="8" fontId="0" fillId="0" borderId="0" xfId="0" applyNumberFormat="1"/>
    <xf numFmtId="10" fontId="2" fillId="0" borderId="0" xfId="3" applyNumberFormat="1" applyFont="1" applyFill="1" applyAlignment="1">
      <alignment vertical="center"/>
    </xf>
    <xf numFmtId="0" fontId="13" fillId="0" borderId="0" xfId="10" applyFont="1" applyFill="1" applyAlignment="1">
      <alignment horizontal="right"/>
    </xf>
    <xf numFmtId="0" fontId="13" fillId="0" borderId="0" xfId="10" applyFont="1" applyFill="1" applyAlignment="1">
      <alignment horizontal="center"/>
    </xf>
    <xf numFmtId="0" fontId="13" fillId="0" borderId="0" xfId="10" applyFont="1" applyFill="1"/>
    <xf numFmtId="0" fontId="15" fillId="0" borderId="0" xfId="10" applyFont="1" applyFill="1" applyAlignment="1">
      <alignment horizontal="right"/>
    </xf>
    <xf numFmtId="0" fontId="15" fillId="0" borderId="0" xfId="10" applyFont="1" applyFill="1" applyAlignment="1">
      <alignment horizontal="center"/>
    </xf>
    <xf numFmtId="166" fontId="16" fillId="0" borderId="0" xfId="11" applyNumberFormat="1" applyFont="1" applyFill="1" applyAlignment="1">
      <alignment horizontal="center"/>
    </xf>
    <xf numFmtId="0" fontId="13" fillId="0" borderId="0" xfId="10" applyFont="1" applyFill="1" applyAlignment="1">
      <alignment horizontal="right" vertical="center"/>
    </xf>
    <xf numFmtId="0" fontId="13" fillId="0" borderId="0" xfId="10" applyFont="1" applyFill="1" applyAlignment="1">
      <alignment vertical="center"/>
    </xf>
    <xf numFmtId="0" fontId="13" fillId="0" borderId="0" xfId="10" applyFont="1" applyFill="1" applyAlignment="1">
      <alignment horizontal="left" vertical="center"/>
    </xf>
    <xf numFmtId="37" fontId="13" fillId="0" borderId="0" xfId="10" applyNumberFormat="1" applyFont="1" applyFill="1" applyAlignment="1">
      <alignment horizontal="left" vertical="center"/>
    </xf>
    <xf numFmtId="44" fontId="13" fillId="0" borderId="0" xfId="10" applyNumberFormat="1" applyFont="1" applyFill="1" applyAlignment="1">
      <alignment horizontal="left" vertical="center"/>
    </xf>
    <xf numFmtId="0" fontId="13" fillId="0" borderId="0" xfId="10" applyNumberFormat="1" applyFont="1" applyFill="1" applyAlignment="1">
      <alignment horizontal="right"/>
    </xf>
    <xf numFmtId="0" fontId="13" fillId="0" borderId="0" xfId="10" applyNumberFormat="1" applyFont="1" applyFill="1"/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center" wrapText="1"/>
    </xf>
    <xf numFmtId="166" fontId="16" fillId="0" borderId="0" xfId="3" applyNumberFormat="1" applyFont="1" applyFill="1" applyAlignment="1">
      <alignment horizontal="center"/>
    </xf>
    <xf numFmtId="167" fontId="13" fillId="0" borderId="0" xfId="1" applyNumberFormat="1" applyFont="1" applyFill="1" applyAlignment="1"/>
    <xf numFmtId="166" fontId="20" fillId="0" borderId="0" xfId="10" applyNumberFormat="1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67" fontId="13" fillId="0" borderId="0" xfId="10" applyNumberFormat="1" applyFont="1" applyFill="1" applyAlignment="1">
      <alignment horizontal="center"/>
    </xf>
    <xf numFmtId="9" fontId="13" fillId="0" borderId="0" xfId="10" applyNumberFormat="1" applyFont="1" applyFill="1" applyAlignment="1">
      <alignment horizontal="center"/>
    </xf>
    <xf numFmtId="173" fontId="38" fillId="0" borderId="5" xfId="0" applyNumberFormat="1" applyFont="1" applyFill="1" applyBorder="1" applyAlignment="1">
      <alignment horizontal="center" vertical="center"/>
    </xf>
    <xf numFmtId="0" fontId="25" fillId="0" borderId="0" xfId="16" applyFont="1" applyAlignment="1">
      <alignment horizontal="center"/>
    </xf>
    <xf numFmtId="171" fontId="23" fillId="0" borderId="0" xfId="16" applyNumberFormat="1" applyFill="1" applyBorder="1"/>
    <xf numFmtId="0" fontId="43" fillId="0" borderId="0" xfId="16" applyFont="1"/>
    <xf numFmtId="171" fontId="23" fillId="0" borderId="0" xfId="16" applyNumberFormat="1" applyAlignment="1">
      <alignment horizontal="center"/>
    </xf>
    <xf numFmtId="180" fontId="23" fillId="0" borderId="0" xfId="16" applyNumberFormat="1" applyAlignment="1">
      <alignment horizontal="center"/>
    </xf>
    <xf numFmtId="181" fontId="23" fillId="0" borderId="0" xfId="16" applyNumberFormat="1"/>
    <xf numFmtId="0" fontId="8" fillId="0" borderId="0" xfId="0" applyFont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166" fontId="18" fillId="0" borderId="3" xfId="11" applyNumberFormat="1" applyFont="1" applyFill="1" applyBorder="1" applyAlignment="1">
      <alignment horizontal="center" vertical="center"/>
    </xf>
    <xf numFmtId="0" fontId="14" fillId="0" borderId="0" xfId="10" applyFont="1" applyFill="1" applyAlignment="1">
      <alignment horizontal="center"/>
    </xf>
  </cellXfs>
  <cellStyles count="18">
    <cellStyle name="]_x000d__x000a_Zoomed=1_x000d__x000a_Row=0_x000d__x000a_Column=0_x000d__x000a_Height=0_x000d__x000a_Width=0_x000d__x000a_FontName=FoxFont_x000d__x000a_FontStyle=0_x000d__x000a_FontSize=9_x000d__x000a_PrtFontName=FoxPrin" xfId="8"/>
    <cellStyle name="Comma" xfId="1" builtinId="3"/>
    <cellStyle name="Comma 2" xfId="12"/>
    <cellStyle name="Currency" xfId="2" builtinId="4"/>
    <cellStyle name="Currency 2" xfId="5"/>
    <cellStyle name="Currency 3" xfId="7"/>
    <cellStyle name="Normal" xfId="0" builtinId="0"/>
    <cellStyle name="Normal 2" xfId="6"/>
    <cellStyle name="Normal 2 2" xfId="10"/>
    <cellStyle name="Normal 3" xfId="13"/>
    <cellStyle name="Normal 4" xfId="16"/>
    <cellStyle name="Normal 76" xfId="9"/>
    <cellStyle name="Percent" xfId="3" builtinId="5"/>
    <cellStyle name="Percent 2" xfId="14"/>
    <cellStyle name="Percent 3" xfId="15"/>
    <cellStyle name="Percent 4" xfId="11"/>
    <cellStyle name="Percent 5" xfId="17"/>
    <cellStyle name="Style 1" xfId="4"/>
  </cellStyles>
  <dxfs count="0"/>
  <tableStyles count="0" defaultTableStyle="TableStyleMedium2" defaultPivotStyle="PivotStyleLight16"/>
  <colors>
    <mruColors>
      <color rgb="FFFF33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2013/ENL/Models/Numbers%20to%20Ventx/December%202012/Blended%20Prices/500MW%20Firm%20V%20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2012/ENL/Models/Numbers%20to%20Ventx/Marshall%20Report/Tariff%20Calculations%20#2 NCF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Local%20Settings/Temporary%20Internet%20Files/Content.Outlook/06C72294/Tariff%20Calculations%20Jan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Base Model"/>
      <sheetName val="Firm Purchase Revenue Reqmnt"/>
      <sheetName val="Economy Energy Price Summary"/>
      <sheetName val="Base Tx"/>
      <sheetName val="HQ500Adj"/>
      <sheetName val="Numbers to V"/>
      <sheetName val="ESAI - Q3 - Low Case"/>
      <sheetName val="ESAI - Q3 - Base Case"/>
      <sheetName val="ESAI - Q3 - High Case"/>
    </sheetNames>
    <sheetDataSet>
      <sheetData sheetId="0"/>
      <sheetData sheetId="1"/>
      <sheetData sheetId="2">
        <row r="9">
          <cell r="L9">
            <v>7.1683692884963772</v>
          </cell>
        </row>
        <row r="58">
          <cell r="B58">
            <v>1.03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ase"/>
      <sheetName val="HQ500"/>
      <sheetName val="HQ500Adj"/>
      <sheetName val="HQ165"/>
      <sheetName val="HQ165ADJ"/>
      <sheetName val="Hybrid"/>
      <sheetName val="HybridAdj"/>
    </sheetNames>
    <sheetDataSet>
      <sheetData sheetId="0"/>
      <sheetData sheetId="1">
        <row r="30">
          <cell r="F30">
            <v>99.441025758990591</v>
          </cell>
        </row>
      </sheetData>
      <sheetData sheetId="2">
        <row r="2">
          <cell r="J2">
            <v>1.2800000000000001E-2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ase"/>
      <sheetName val="HQ500"/>
      <sheetName val="HQ500Adj"/>
      <sheetName val="HQ500Adj100"/>
      <sheetName val="HQ165"/>
      <sheetName val="HQ165ADJ"/>
      <sheetName val="HQ165ADJ100%"/>
      <sheetName val="Hybrid"/>
      <sheetName val="HybridAdj"/>
      <sheetName val="HybridAdj100%"/>
    </sheetNames>
    <sheetDataSet>
      <sheetData sheetId="0"/>
      <sheetData sheetId="1">
        <row r="30">
          <cell r="F30">
            <v>99.441025758990591</v>
          </cell>
          <cell r="G30">
            <v>155.20111574117826</v>
          </cell>
        </row>
      </sheetData>
      <sheetData sheetId="2">
        <row r="2">
          <cell r="J2">
            <v>1.2800000000000001E-2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9"/>
  <sheetViews>
    <sheetView tabSelected="1" zoomScaleNormal="100" workbookViewId="0">
      <selection activeCell="G4" sqref="G4"/>
    </sheetView>
  </sheetViews>
  <sheetFormatPr defaultRowHeight="12.75" x14ac:dyDescent="0.2"/>
  <cols>
    <col min="2" max="2" width="27.140625" customWidth="1"/>
    <col min="3" max="3" width="16.5703125" customWidth="1"/>
  </cols>
  <sheetData>
    <row r="1" spans="1:3" s="256" customFormat="1" ht="32.25" customHeight="1" x14ac:dyDescent="0.2">
      <c r="A1" s="256" t="s">
        <v>240</v>
      </c>
    </row>
    <row r="2" spans="1:3" ht="25.5" x14ac:dyDescent="0.2">
      <c r="B2" s="252" t="s">
        <v>146</v>
      </c>
      <c r="C2" s="254">
        <f>HQ500Adj!F8+HQ500Adj!H8</f>
        <v>442</v>
      </c>
    </row>
    <row r="3" spans="1:3" x14ac:dyDescent="0.2">
      <c r="B3" s="184" t="s">
        <v>241</v>
      </c>
      <c r="C3" s="235">
        <v>0.5</v>
      </c>
    </row>
    <row r="4" spans="1:3" x14ac:dyDescent="0.2">
      <c r="B4" s="184" t="s">
        <v>242</v>
      </c>
      <c r="C4" s="253">
        <v>2015</v>
      </c>
    </row>
    <row r="5" spans="1:3" x14ac:dyDescent="0.2">
      <c r="B5" s="27" t="s">
        <v>4</v>
      </c>
      <c r="C5" s="38">
        <v>0.4</v>
      </c>
    </row>
    <row r="6" spans="1:3" x14ac:dyDescent="0.2">
      <c r="B6" s="27" t="s">
        <v>5</v>
      </c>
      <c r="C6" s="7">
        <f>1-C5</f>
        <v>0.6</v>
      </c>
    </row>
    <row r="7" spans="1:3" x14ac:dyDescent="0.2">
      <c r="B7" s="27" t="s">
        <v>6</v>
      </c>
      <c r="C7" s="290">
        <v>0.1</v>
      </c>
    </row>
    <row r="8" spans="1:3" x14ac:dyDescent="0.2">
      <c r="B8" s="27" t="s">
        <v>8</v>
      </c>
      <c r="C8" s="36">
        <v>0.05</v>
      </c>
    </row>
    <row r="10" spans="1:3" s="256" customFormat="1" ht="32.25" customHeight="1" x14ac:dyDescent="0.2">
      <c r="A10" s="256" t="s">
        <v>245</v>
      </c>
    </row>
    <row r="11" spans="1:3" x14ac:dyDescent="0.2">
      <c r="B11" s="27" t="s">
        <v>260</v>
      </c>
      <c r="C11" s="259">
        <v>165</v>
      </c>
    </row>
    <row r="12" spans="1:3" x14ac:dyDescent="0.2">
      <c r="B12" s="27" t="s">
        <v>246</v>
      </c>
      <c r="C12" s="260">
        <v>365</v>
      </c>
    </row>
    <row r="13" spans="1:3" x14ac:dyDescent="0.2">
      <c r="B13" s="27" t="s">
        <v>247</v>
      </c>
      <c r="C13" s="260">
        <v>16</v>
      </c>
    </row>
    <row r="14" spans="1:3" x14ac:dyDescent="0.2">
      <c r="B14" s="27" t="s">
        <v>248</v>
      </c>
      <c r="C14" s="260">
        <v>5</v>
      </c>
    </row>
    <row r="15" spans="1:3" x14ac:dyDescent="0.2">
      <c r="B15" s="27" t="s">
        <v>249</v>
      </c>
      <c r="C15" s="260">
        <v>2</v>
      </c>
    </row>
    <row r="16" spans="1:3" x14ac:dyDescent="0.2">
      <c r="B16" s="27" t="s">
        <v>250</v>
      </c>
      <c r="C16" s="261">
        <f>C11*C12*C13</f>
        <v>963600</v>
      </c>
    </row>
    <row r="17" spans="1:3" x14ac:dyDescent="0.2">
      <c r="B17" s="27" t="s">
        <v>251</v>
      </c>
      <c r="C17" s="261">
        <f>C16*C14/(C14+C15)</f>
        <v>688285.71428571432</v>
      </c>
    </row>
    <row r="18" spans="1:3" x14ac:dyDescent="0.2">
      <c r="B18" s="27" t="s">
        <v>252</v>
      </c>
      <c r="C18" s="261">
        <f>C16-C17</f>
        <v>275314.28571428568</v>
      </c>
    </row>
    <row r="19" spans="1:3" x14ac:dyDescent="0.2">
      <c r="B19" s="27" t="s">
        <v>253</v>
      </c>
      <c r="C19" s="262">
        <v>3.3000000000000002E-2</v>
      </c>
    </row>
    <row r="20" spans="1:3" x14ac:dyDescent="0.2">
      <c r="B20" s="27" t="s">
        <v>261</v>
      </c>
      <c r="C20" s="260">
        <v>500</v>
      </c>
    </row>
    <row r="21" spans="1:3" x14ac:dyDescent="0.2">
      <c r="B21" s="27" t="s">
        <v>254</v>
      </c>
      <c r="C21" s="267">
        <f>HQ500Adj!F21</f>
        <v>38.256800477986573</v>
      </c>
    </row>
    <row r="22" spans="1:3" x14ac:dyDescent="0.2">
      <c r="B22" s="27" t="s">
        <v>256</v>
      </c>
      <c r="C22" s="260">
        <v>2015</v>
      </c>
    </row>
    <row r="23" spans="1:3" x14ac:dyDescent="0.2">
      <c r="B23" s="27" t="s">
        <v>255</v>
      </c>
      <c r="C23" s="268">
        <v>1.008E-2</v>
      </c>
    </row>
    <row r="24" spans="1:3" x14ac:dyDescent="0.2">
      <c r="B24" s="27" t="s">
        <v>257</v>
      </c>
      <c r="C24" s="267">
        <v>5.112559213469047</v>
      </c>
    </row>
    <row r="25" spans="1:3" x14ac:dyDescent="0.2">
      <c r="B25" s="27" t="s">
        <v>256</v>
      </c>
      <c r="C25" s="260">
        <v>2015</v>
      </c>
    </row>
    <row r="26" spans="1:3" x14ac:dyDescent="0.2">
      <c r="B26" s="27" t="s">
        <v>255</v>
      </c>
      <c r="C26" s="269">
        <f>'Base Tx'!I25</f>
        <v>9.9000000000000008E-3</v>
      </c>
    </row>
    <row r="28" spans="1:3" s="256" customFormat="1" ht="32.25" customHeight="1" x14ac:dyDescent="0.2">
      <c r="A28" s="256" t="s">
        <v>262</v>
      </c>
    </row>
    <row r="29" spans="1:3" x14ac:dyDescent="0.2">
      <c r="B29" s="27" t="s">
        <v>263</v>
      </c>
      <c r="C29" s="251">
        <f>3/12</f>
        <v>0.25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AW86"/>
  <sheetViews>
    <sheetView zoomScaleNormal="100" workbookViewId="0">
      <selection activeCell="B20" sqref="B20"/>
    </sheetView>
  </sheetViews>
  <sheetFormatPr defaultRowHeight="12.75" x14ac:dyDescent="0.2"/>
  <cols>
    <col min="1" max="1" width="36.28515625" style="1" customWidth="1"/>
    <col min="2" max="2" width="13.5703125" style="1" customWidth="1"/>
    <col min="3" max="3" width="20.140625" style="1" customWidth="1"/>
    <col min="4" max="4" width="11.28515625" style="1" customWidth="1"/>
    <col min="5" max="5" width="12.28515625" style="1" customWidth="1"/>
    <col min="6" max="6" width="12.7109375" style="1" customWidth="1"/>
    <col min="7" max="7" width="11.7109375" style="1" customWidth="1"/>
    <col min="8" max="8" width="13" style="1" customWidth="1"/>
    <col min="9" max="11" width="11.42578125" style="1" customWidth="1"/>
    <col min="12" max="27" width="11.42578125" style="1" bestFit="1" customWidth="1"/>
    <col min="28" max="48" width="11.42578125" style="1" customWidth="1"/>
    <col min="50" max="16384" width="9.140625" style="1"/>
  </cols>
  <sheetData>
    <row r="1" spans="1:48" ht="60" customHeight="1" thickBot="1" x14ac:dyDescent="0.25">
      <c r="A1" s="320" t="s">
        <v>149</v>
      </c>
      <c r="B1" s="321"/>
    </row>
    <row r="2" spans="1:48" x14ac:dyDescent="0.2">
      <c r="A2" s="5"/>
      <c r="C2" s="19">
        <v>1</v>
      </c>
      <c r="D2" s="20">
        <f>C2+1</f>
        <v>2</v>
      </c>
      <c r="E2" s="20">
        <f t="shared" ref="E2:T3" si="0">D2+1</f>
        <v>3</v>
      </c>
      <c r="F2" s="20">
        <f t="shared" si="0"/>
        <v>4</v>
      </c>
      <c r="G2" s="20">
        <f t="shared" si="0"/>
        <v>5</v>
      </c>
      <c r="H2" s="20">
        <f t="shared" si="0"/>
        <v>6</v>
      </c>
      <c r="I2" s="20">
        <f t="shared" si="0"/>
        <v>7</v>
      </c>
      <c r="J2" s="20">
        <f t="shared" si="0"/>
        <v>8</v>
      </c>
      <c r="K2" s="20">
        <f t="shared" si="0"/>
        <v>9</v>
      </c>
      <c r="L2" s="20">
        <f t="shared" si="0"/>
        <v>10</v>
      </c>
      <c r="M2" s="20">
        <f t="shared" si="0"/>
        <v>11</v>
      </c>
      <c r="N2" s="20">
        <f t="shared" si="0"/>
        <v>12</v>
      </c>
      <c r="O2" s="20">
        <f t="shared" si="0"/>
        <v>13</v>
      </c>
      <c r="P2" s="20">
        <f t="shared" si="0"/>
        <v>14</v>
      </c>
      <c r="Q2" s="20">
        <f t="shared" si="0"/>
        <v>15</v>
      </c>
      <c r="R2" s="20">
        <f t="shared" si="0"/>
        <v>16</v>
      </c>
      <c r="S2" s="20">
        <f t="shared" si="0"/>
        <v>17</v>
      </c>
      <c r="T2" s="20">
        <f t="shared" si="0"/>
        <v>18</v>
      </c>
      <c r="U2" s="20">
        <f t="shared" ref="U2:AJ3" si="1">T2+1</f>
        <v>19</v>
      </c>
      <c r="V2" s="20">
        <f t="shared" si="1"/>
        <v>20</v>
      </c>
      <c r="W2" s="20">
        <f t="shared" si="1"/>
        <v>21</v>
      </c>
      <c r="X2" s="20">
        <f t="shared" si="1"/>
        <v>22</v>
      </c>
      <c r="Y2" s="20">
        <f t="shared" si="1"/>
        <v>23</v>
      </c>
      <c r="Z2" s="20">
        <f t="shared" si="1"/>
        <v>24</v>
      </c>
      <c r="AA2" s="20">
        <f t="shared" si="1"/>
        <v>25</v>
      </c>
      <c r="AB2" s="20">
        <f t="shared" si="1"/>
        <v>26</v>
      </c>
      <c r="AC2" s="20">
        <f t="shared" si="1"/>
        <v>27</v>
      </c>
      <c r="AD2" s="20">
        <f t="shared" si="1"/>
        <v>28</v>
      </c>
      <c r="AE2" s="20">
        <f t="shared" si="1"/>
        <v>29</v>
      </c>
      <c r="AF2" s="20">
        <f t="shared" si="1"/>
        <v>30</v>
      </c>
      <c r="AG2" s="20">
        <f t="shared" si="1"/>
        <v>31</v>
      </c>
      <c r="AH2" s="20">
        <f t="shared" si="1"/>
        <v>32</v>
      </c>
      <c r="AI2" s="20">
        <f t="shared" si="1"/>
        <v>33</v>
      </c>
      <c r="AJ2" s="20">
        <f t="shared" si="1"/>
        <v>34</v>
      </c>
      <c r="AK2" s="20">
        <f t="shared" ref="AK2:AO3" si="2">AJ2+1</f>
        <v>35</v>
      </c>
      <c r="AL2" s="20">
        <f t="shared" si="2"/>
        <v>36</v>
      </c>
      <c r="AM2" s="20">
        <f t="shared" si="2"/>
        <v>37</v>
      </c>
      <c r="AN2" s="20">
        <f t="shared" si="2"/>
        <v>38</v>
      </c>
      <c r="AO2" s="20">
        <f t="shared" si="2"/>
        <v>39</v>
      </c>
      <c r="AP2" s="20">
        <f t="shared" ref="AP2:AP3" si="3">AO2+1</f>
        <v>40</v>
      </c>
      <c r="AQ2" s="20">
        <f t="shared" ref="AQ2:AQ3" si="4">AP2+1</f>
        <v>41</v>
      </c>
      <c r="AR2" s="20">
        <f t="shared" ref="AR2:AR3" si="5">AQ2+1</f>
        <v>42</v>
      </c>
      <c r="AS2" s="20">
        <f t="shared" ref="AS2:AS3" si="6">AR2+1</f>
        <v>43</v>
      </c>
      <c r="AT2" s="20">
        <f t="shared" ref="AT2:AT3" si="7">AS2+1</f>
        <v>44</v>
      </c>
      <c r="AU2" s="20">
        <f t="shared" ref="AU2:AV3" si="8">AT2+1</f>
        <v>45</v>
      </c>
      <c r="AV2" s="20">
        <f t="shared" si="8"/>
        <v>46</v>
      </c>
    </row>
    <row r="3" spans="1:48" x14ac:dyDescent="0.2">
      <c r="A3" s="5"/>
      <c r="C3" s="2">
        <f>C29</f>
        <v>2017</v>
      </c>
      <c r="D3" s="2">
        <f>C3+1</f>
        <v>2018</v>
      </c>
      <c r="E3" s="2">
        <f t="shared" si="0"/>
        <v>2019</v>
      </c>
      <c r="F3" s="2">
        <f t="shared" si="0"/>
        <v>2020</v>
      </c>
      <c r="G3" s="2">
        <f t="shared" si="0"/>
        <v>2021</v>
      </c>
      <c r="H3" s="2">
        <f t="shared" si="0"/>
        <v>2022</v>
      </c>
      <c r="I3" s="2">
        <f t="shared" si="0"/>
        <v>2023</v>
      </c>
      <c r="J3" s="2">
        <f t="shared" si="0"/>
        <v>2024</v>
      </c>
      <c r="K3" s="2">
        <f t="shared" si="0"/>
        <v>2025</v>
      </c>
      <c r="L3" s="2">
        <f t="shared" si="0"/>
        <v>2026</v>
      </c>
      <c r="M3" s="2">
        <f t="shared" si="0"/>
        <v>2027</v>
      </c>
      <c r="N3" s="2">
        <f t="shared" si="0"/>
        <v>2028</v>
      </c>
      <c r="O3" s="2">
        <f t="shared" si="0"/>
        <v>2029</v>
      </c>
      <c r="P3" s="2">
        <f t="shared" si="0"/>
        <v>2030</v>
      </c>
      <c r="Q3" s="2">
        <f t="shared" si="0"/>
        <v>2031</v>
      </c>
      <c r="R3" s="2">
        <f t="shared" si="0"/>
        <v>2032</v>
      </c>
      <c r="S3" s="2">
        <f t="shared" si="0"/>
        <v>2033</v>
      </c>
      <c r="T3" s="2">
        <f t="shared" si="0"/>
        <v>2034</v>
      </c>
      <c r="U3" s="2">
        <f t="shared" si="1"/>
        <v>2035</v>
      </c>
      <c r="V3" s="2">
        <f t="shared" si="1"/>
        <v>2036</v>
      </c>
      <c r="W3" s="2">
        <f t="shared" si="1"/>
        <v>2037</v>
      </c>
      <c r="X3" s="2">
        <f t="shared" si="1"/>
        <v>2038</v>
      </c>
      <c r="Y3" s="2">
        <f t="shared" si="1"/>
        <v>2039</v>
      </c>
      <c r="Z3" s="2">
        <f t="shared" si="1"/>
        <v>2040</v>
      </c>
      <c r="AA3" s="2">
        <f t="shared" si="1"/>
        <v>2041</v>
      </c>
      <c r="AB3" s="2">
        <f t="shared" si="1"/>
        <v>2042</v>
      </c>
      <c r="AC3" s="2">
        <f t="shared" si="1"/>
        <v>2043</v>
      </c>
      <c r="AD3" s="2">
        <f t="shared" si="1"/>
        <v>2044</v>
      </c>
      <c r="AE3" s="2">
        <f t="shared" si="1"/>
        <v>2045</v>
      </c>
      <c r="AF3" s="2">
        <f t="shared" si="1"/>
        <v>2046</v>
      </c>
      <c r="AG3" s="2">
        <f t="shared" si="1"/>
        <v>2047</v>
      </c>
      <c r="AH3" s="2">
        <f t="shared" si="1"/>
        <v>2048</v>
      </c>
      <c r="AI3" s="2">
        <f t="shared" si="1"/>
        <v>2049</v>
      </c>
      <c r="AJ3" s="2">
        <f t="shared" si="1"/>
        <v>2050</v>
      </c>
      <c r="AK3" s="2">
        <f t="shared" si="2"/>
        <v>2051</v>
      </c>
      <c r="AL3" s="2">
        <f t="shared" si="2"/>
        <v>2052</v>
      </c>
      <c r="AM3" s="2">
        <f t="shared" si="2"/>
        <v>2053</v>
      </c>
      <c r="AN3" s="2">
        <f t="shared" si="2"/>
        <v>2054</v>
      </c>
      <c r="AO3" s="2">
        <f t="shared" si="2"/>
        <v>2055</v>
      </c>
      <c r="AP3" s="2">
        <f t="shared" si="3"/>
        <v>2056</v>
      </c>
      <c r="AQ3" s="2">
        <f t="shared" si="4"/>
        <v>2057</v>
      </c>
      <c r="AR3" s="2">
        <f t="shared" si="5"/>
        <v>2058</v>
      </c>
      <c r="AS3" s="2">
        <f t="shared" si="6"/>
        <v>2059</v>
      </c>
      <c r="AT3" s="2">
        <f t="shared" si="7"/>
        <v>2060</v>
      </c>
      <c r="AU3" s="2">
        <f t="shared" si="8"/>
        <v>2061</v>
      </c>
      <c r="AV3" s="2">
        <f t="shared" si="8"/>
        <v>2062</v>
      </c>
    </row>
    <row r="4" spans="1:48" ht="12" customHeight="1" x14ac:dyDescent="0.2">
      <c r="A4" s="18" t="s">
        <v>9</v>
      </c>
      <c r="B4" s="9"/>
      <c r="C4" s="235">
        <f>Inputs!C3</f>
        <v>0.5</v>
      </c>
    </row>
    <row r="5" spans="1:48" ht="12" customHeight="1" x14ac:dyDescent="0.2">
      <c r="A5" s="27" t="s">
        <v>244</v>
      </c>
      <c r="B5" s="9"/>
      <c r="C5" s="255">
        <f>Inputs!C2*(1+C4)</f>
        <v>663</v>
      </c>
      <c r="D5" s="1">
        <v>663</v>
      </c>
      <c r="E5" s="285">
        <f>D5-C5</f>
        <v>0</v>
      </c>
    </row>
    <row r="6" spans="1:48" x14ac:dyDescent="0.2">
      <c r="A6" s="27" t="s">
        <v>243</v>
      </c>
      <c r="B6" s="10"/>
      <c r="C6" s="40">
        <f>C5*(1+C11)^(2017-2015)</f>
        <v>676.32630000000006</v>
      </c>
      <c r="D6" s="16"/>
    </row>
    <row r="7" spans="1:48" ht="12" customHeight="1" x14ac:dyDescent="0.2">
      <c r="A7" s="27" t="s">
        <v>3</v>
      </c>
      <c r="B7" s="4"/>
      <c r="C7" s="37">
        <v>45</v>
      </c>
      <c r="D7" s="5">
        <f t="shared" ref="D7:AO7" si="9">IF(D2&lt;=C7,C7,0)</f>
        <v>45</v>
      </c>
      <c r="E7" s="5">
        <f t="shared" si="9"/>
        <v>45</v>
      </c>
      <c r="F7" s="5">
        <f t="shared" si="9"/>
        <v>45</v>
      </c>
      <c r="G7" s="5">
        <f t="shared" si="9"/>
        <v>45</v>
      </c>
      <c r="H7" s="5">
        <f t="shared" si="9"/>
        <v>45</v>
      </c>
      <c r="I7" s="5">
        <f t="shared" si="9"/>
        <v>45</v>
      </c>
      <c r="J7" s="5">
        <f t="shared" si="9"/>
        <v>45</v>
      </c>
      <c r="K7" s="5">
        <f t="shared" si="9"/>
        <v>45</v>
      </c>
      <c r="L7" s="5">
        <f t="shared" si="9"/>
        <v>45</v>
      </c>
      <c r="M7" s="5">
        <f t="shared" si="9"/>
        <v>45</v>
      </c>
      <c r="N7" s="5">
        <f t="shared" si="9"/>
        <v>45</v>
      </c>
      <c r="O7" s="5">
        <f t="shared" si="9"/>
        <v>45</v>
      </c>
      <c r="P7" s="5">
        <f t="shared" si="9"/>
        <v>45</v>
      </c>
      <c r="Q7" s="5">
        <f t="shared" si="9"/>
        <v>45</v>
      </c>
      <c r="R7" s="5">
        <f t="shared" si="9"/>
        <v>45</v>
      </c>
      <c r="S7" s="5">
        <f t="shared" si="9"/>
        <v>45</v>
      </c>
      <c r="T7" s="5">
        <f t="shared" si="9"/>
        <v>45</v>
      </c>
      <c r="U7" s="5">
        <f t="shared" si="9"/>
        <v>45</v>
      </c>
      <c r="V7" s="5">
        <f t="shared" si="9"/>
        <v>45</v>
      </c>
      <c r="W7" s="5">
        <f t="shared" si="9"/>
        <v>45</v>
      </c>
      <c r="X7" s="5">
        <f t="shared" si="9"/>
        <v>45</v>
      </c>
      <c r="Y7" s="5">
        <f t="shared" si="9"/>
        <v>45</v>
      </c>
      <c r="Z7" s="5">
        <f t="shared" si="9"/>
        <v>45</v>
      </c>
      <c r="AA7" s="5">
        <f t="shared" si="9"/>
        <v>45</v>
      </c>
      <c r="AB7" s="5">
        <f t="shared" si="9"/>
        <v>45</v>
      </c>
      <c r="AC7" s="5">
        <f t="shared" si="9"/>
        <v>45</v>
      </c>
      <c r="AD7" s="5">
        <f t="shared" si="9"/>
        <v>45</v>
      </c>
      <c r="AE7" s="5">
        <f t="shared" si="9"/>
        <v>45</v>
      </c>
      <c r="AF7" s="5">
        <f t="shared" si="9"/>
        <v>45</v>
      </c>
      <c r="AG7" s="5">
        <f t="shared" si="9"/>
        <v>45</v>
      </c>
      <c r="AH7" s="5">
        <f t="shared" si="9"/>
        <v>45</v>
      </c>
      <c r="AI7" s="5">
        <f t="shared" si="9"/>
        <v>45</v>
      </c>
      <c r="AJ7" s="5">
        <f t="shared" si="9"/>
        <v>45</v>
      </c>
      <c r="AK7" s="5">
        <f t="shared" si="9"/>
        <v>45</v>
      </c>
      <c r="AL7" s="5">
        <f t="shared" si="9"/>
        <v>45</v>
      </c>
      <c r="AM7" s="5">
        <f t="shared" si="9"/>
        <v>45</v>
      </c>
      <c r="AN7" s="5">
        <f t="shared" si="9"/>
        <v>45</v>
      </c>
      <c r="AO7" s="5">
        <f t="shared" si="9"/>
        <v>45</v>
      </c>
      <c r="AP7" s="5">
        <f t="shared" ref="AP7" si="10">IF(AP2&lt;=AO7,AO7,0)</f>
        <v>45</v>
      </c>
      <c r="AQ7" s="5">
        <f t="shared" ref="AQ7" si="11">IF(AQ2&lt;=AP7,AP7,0)</f>
        <v>45</v>
      </c>
      <c r="AR7" s="5">
        <f t="shared" ref="AR7" si="12">IF(AR2&lt;=AQ7,AQ7,0)</f>
        <v>45</v>
      </c>
      <c r="AS7" s="5">
        <f t="shared" ref="AS7" si="13">IF(AS2&lt;=AR7,AR7,0)</f>
        <v>45</v>
      </c>
      <c r="AT7" s="5">
        <f t="shared" ref="AT7" si="14">IF(AT2&lt;=AS7,AS7,0)</f>
        <v>45</v>
      </c>
      <c r="AU7" s="5">
        <f t="shared" ref="AU7" si="15">IF(AU2&lt;=AT7,AT7,0)</f>
        <v>45</v>
      </c>
      <c r="AV7" s="5">
        <v>45</v>
      </c>
    </row>
    <row r="8" spans="1:48" ht="12" customHeight="1" x14ac:dyDescent="0.2">
      <c r="A8" s="27" t="s">
        <v>264</v>
      </c>
      <c r="B8" s="4"/>
      <c r="C8" s="270">
        <f>Inputs!C29</f>
        <v>0.25</v>
      </c>
      <c r="D8" s="270">
        <v>1</v>
      </c>
      <c r="E8" s="270">
        <v>1</v>
      </c>
      <c r="F8" s="270">
        <v>1</v>
      </c>
      <c r="G8" s="270">
        <v>1</v>
      </c>
      <c r="H8" s="270">
        <v>1</v>
      </c>
      <c r="I8" s="270">
        <v>1</v>
      </c>
      <c r="J8" s="270">
        <v>1</v>
      </c>
      <c r="K8" s="270">
        <v>1</v>
      </c>
      <c r="L8" s="270">
        <v>1</v>
      </c>
      <c r="M8" s="270">
        <v>1</v>
      </c>
      <c r="N8" s="270">
        <v>1</v>
      </c>
      <c r="O8" s="270">
        <v>1</v>
      </c>
      <c r="P8" s="270">
        <v>1</v>
      </c>
      <c r="Q8" s="270">
        <v>1</v>
      </c>
      <c r="R8" s="270">
        <v>1</v>
      </c>
      <c r="S8" s="270">
        <v>1</v>
      </c>
      <c r="T8" s="270">
        <v>1</v>
      </c>
      <c r="U8" s="270">
        <v>1</v>
      </c>
      <c r="V8" s="270">
        <v>1</v>
      </c>
      <c r="W8" s="270">
        <v>1</v>
      </c>
      <c r="X8" s="270">
        <v>1</v>
      </c>
      <c r="Y8" s="270">
        <v>1</v>
      </c>
      <c r="Z8" s="270">
        <v>1</v>
      </c>
      <c r="AA8" s="270">
        <v>1</v>
      </c>
      <c r="AB8" s="270">
        <v>1</v>
      </c>
      <c r="AC8" s="270">
        <v>1</v>
      </c>
      <c r="AD8" s="270">
        <v>1</v>
      </c>
      <c r="AE8" s="270">
        <v>1</v>
      </c>
      <c r="AF8" s="270">
        <v>1</v>
      </c>
      <c r="AG8" s="270">
        <v>1</v>
      </c>
      <c r="AH8" s="270">
        <v>1</v>
      </c>
      <c r="AI8" s="270">
        <v>1</v>
      </c>
      <c r="AJ8" s="270">
        <v>1</v>
      </c>
      <c r="AK8" s="270">
        <v>1</v>
      </c>
      <c r="AL8" s="270">
        <v>1</v>
      </c>
      <c r="AM8" s="270">
        <v>1</v>
      </c>
      <c r="AN8" s="270">
        <v>1</v>
      </c>
      <c r="AO8" s="270">
        <v>1</v>
      </c>
      <c r="AP8" s="270">
        <v>1</v>
      </c>
      <c r="AQ8" s="270">
        <v>1</v>
      </c>
      <c r="AR8" s="270">
        <v>1</v>
      </c>
      <c r="AS8" s="270">
        <v>1</v>
      </c>
      <c r="AT8" s="270">
        <v>1</v>
      </c>
      <c r="AU8" s="270">
        <v>1</v>
      </c>
      <c r="AV8" s="270">
        <v>0.75</v>
      </c>
    </row>
    <row r="9" spans="1:48" x14ac:dyDescent="0.2">
      <c r="A9" s="18" t="s">
        <v>10</v>
      </c>
      <c r="B9" s="5"/>
    </row>
    <row r="10" spans="1:48" x14ac:dyDescent="0.2">
      <c r="A10" s="27" t="s">
        <v>0</v>
      </c>
      <c r="B10" s="7"/>
      <c r="C10" s="36">
        <v>0.02</v>
      </c>
      <c r="D10" s="11">
        <f>C10</f>
        <v>0.02</v>
      </c>
      <c r="E10" s="11">
        <f t="shared" ref="E10:T12" si="16">D10</f>
        <v>0.02</v>
      </c>
      <c r="F10" s="11">
        <f t="shared" si="16"/>
        <v>0.02</v>
      </c>
      <c r="G10" s="11">
        <f t="shared" si="16"/>
        <v>0.02</v>
      </c>
      <c r="H10" s="11">
        <f t="shared" si="16"/>
        <v>0.02</v>
      </c>
      <c r="I10" s="11">
        <f t="shared" si="16"/>
        <v>0.02</v>
      </c>
      <c r="J10" s="11">
        <f t="shared" si="16"/>
        <v>0.02</v>
      </c>
      <c r="K10" s="11">
        <f t="shared" si="16"/>
        <v>0.02</v>
      </c>
      <c r="L10" s="11">
        <f t="shared" si="16"/>
        <v>0.02</v>
      </c>
      <c r="M10" s="11">
        <f t="shared" si="16"/>
        <v>0.02</v>
      </c>
      <c r="N10" s="11">
        <f t="shared" si="16"/>
        <v>0.02</v>
      </c>
      <c r="O10" s="11">
        <f t="shared" si="16"/>
        <v>0.02</v>
      </c>
      <c r="P10" s="11">
        <f t="shared" si="16"/>
        <v>0.02</v>
      </c>
      <c r="Q10" s="11">
        <f t="shared" si="16"/>
        <v>0.02</v>
      </c>
      <c r="R10" s="11">
        <f t="shared" si="16"/>
        <v>0.02</v>
      </c>
      <c r="S10" s="11">
        <f t="shared" si="16"/>
        <v>0.02</v>
      </c>
      <c r="T10" s="11">
        <f t="shared" si="16"/>
        <v>0.02</v>
      </c>
      <c r="U10" s="11">
        <f t="shared" ref="U10:AJ12" si="17">T10</f>
        <v>0.02</v>
      </c>
      <c r="V10" s="11">
        <f t="shared" si="17"/>
        <v>0.02</v>
      </c>
      <c r="W10" s="11">
        <f t="shared" si="17"/>
        <v>0.02</v>
      </c>
      <c r="X10" s="11">
        <f t="shared" si="17"/>
        <v>0.02</v>
      </c>
      <c r="Y10" s="11">
        <f t="shared" si="17"/>
        <v>0.02</v>
      </c>
      <c r="Z10" s="11">
        <f t="shared" si="17"/>
        <v>0.02</v>
      </c>
      <c r="AA10" s="11">
        <f t="shared" si="17"/>
        <v>0.02</v>
      </c>
      <c r="AB10" s="11">
        <f t="shared" si="17"/>
        <v>0.02</v>
      </c>
      <c r="AC10" s="11">
        <f t="shared" si="17"/>
        <v>0.02</v>
      </c>
      <c r="AD10" s="11">
        <f t="shared" si="17"/>
        <v>0.02</v>
      </c>
      <c r="AE10" s="11">
        <f t="shared" si="17"/>
        <v>0.02</v>
      </c>
      <c r="AF10" s="11">
        <f t="shared" si="17"/>
        <v>0.02</v>
      </c>
      <c r="AG10" s="11">
        <f t="shared" si="17"/>
        <v>0.02</v>
      </c>
      <c r="AH10" s="11">
        <f t="shared" si="17"/>
        <v>0.02</v>
      </c>
      <c r="AI10" s="11">
        <f t="shared" si="17"/>
        <v>0.02</v>
      </c>
      <c r="AJ10" s="11">
        <f t="shared" si="17"/>
        <v>0.02</v>
      </c>
      <c r="AK10" s="11">
        <f t="shared" ref="AK10:AO12" si="18">AJ10</f>
        <v>0.02</v>
      </c>
      <c r="AL10" s="11">
        <f t="shared" si="18"/>
        <v>0.02</v>
      </c>
      <c r="AM10" s="11">
        <f t="shared" si="18"/>
        <v>0.02</v>
      </c>
      <c r="AN10" s="11">
        <f t="shared" si="18"/>
        <v>0.02</v>
      </c>
      <c r="AO10" s="11">
        <f t="shared" si="18"/>
        <v>0.02</v>
      </c>
      <c r="AP10" s="11">
        <f t="shared" ref="AP10:AP12" si="19">AO10</f>
        <v>0.02</v>
      </c>
      <c r="AQ10" s="11">
        <f t="shared" ref="AQ10:AQ12" si="20">AP10</f>
        <v>0.02</v>
      </c>
      <c r="AR10" s="11">
        <f t="shared" ref="AR10:AR12" si="21">AQ10</f>
        <v>0.02</v>
      </c>
      <c r="AS10" s="11">
        <f t="shared" ref="AS10:AS12" si="22">AR10</f>
        <v>0.02</v>
      </c>
      <c r="AT10" s="11">
        <f t="shared" ref="AT10:AT12" si="23">AS10</f>
        <v>0.02</v>
      </c>
      <c r="AU10" s="11">
        <f t="shared" ref="AU10:AV12" si="24">AT10</f>
        <v>0.02</v>
      </c>
      <c r="AV10" s="11">
        <f t="shared" si="24"/>
        <v>0.02</v>
      </c>
    </row>
    <row r="11" spans="1:48" x14ac:dyDescent="0.2">
      <c r="A11" s="27" t="s">
        <v>2</v>
      </c>
      <c r="B11" s="7"/>
      <c r="C11" s="36">
        <v>0.01</v>
      </c>
      <c r="D11" s="11">
        <f t="shared" ref="D11:S12" si="25">C11</f>
        <v>0.01</v>
      </c>
      <c r="E11" s="11">
        <f t="shared" si="25"/>
        <v>0.01</v>
      </c>
      <c r="F11" s="11">
        <f t="shared" si="25"/>
        <v>0.01</v>
      </c>
      <c r="G11" s="11">
        <f t="shared" si="25"/>
        <v>0.01</v>
      </c>
      <c r="H11" s="11">
        <f t="shared" si="25"/>
        <v>0.01</v>
      </c>
      <c r="I11" s="11">
        <f t="shared" si="25"/>
        <v>0.01</v>
      </c>
      <c r="J11" s="11">
        <f t="shared" si="25"/>
        <v>0.01</v>
      </c>
      <c r="K11" s="11">
        <f t="shared" si="25"/>
        <v>0.01</v>
      </c>
      <c r="L11" s="11">
        <f t="shared" si="25"/>
        <v>0.01</v>
      </c>
      <c r="M11" s="11">
        <f t="shared" si="25"/>
        <v>0.01</v>
      </c>
      <c r="N11" s="11">
        <f t="shared" si="25"/>
        <v>0.01</v>
      </c>
      <c r="O11" s="11">
        <f t="shared" si="25"/>
        <v>0.01</v>
      </c>
      <c r="P11" s="11">
        <f t="shared" si="25"/>
        <v>0.01</v>
      </c>
      <c r="Q11" s="11">
        <f t="shared" si="25"/>
        <v>0.01</v>
      </c>
      <c r="R11" s="11">
        <f t="shared" si="25"/>
        <v>0.01</v>
      </c>
      <c r="S11" s="11">
        <f t="shared" si="25"/>
        <v>0.01</v>
      </c>
      <c r="T11" s="11">
        <f t="shared" si="16"/>
        <v>0.01</v>
      </c>
      <c r="U11" s="11">
        <f t="shared" si="17"/>
        <v>0.01</v>
      </c>
      <c r="V11" s="11">
        <f t="shared" si="17"/>
        <v>0.01</v>
      </c>
      <c r="W11" s="11">
        <f t="shared" si="17"/>
        <v>0.01</v>
      </c>
      <c r="X11" s="11">
        <f t="shared" si="17"/>
        <v>0.01</v>
      </c>
      <c r="Y11" s="11">
        <f t="shared" si="17"/>
        <v>0.01</v>
      </c>
      <c r="Z11" s="11">
        <f t="shared" si="17"/>
        <v>0.01</v>
      </c>
      <c r="AA11" s="11">
        <f t="shared" si="17"/>
        <v>0.01</v>
      </c>
      <c r="AB11" s="11">
        <f t="shared" si="17"/>
        <v>0.01</v>
      </c>
      <c r="AC11" s="11">
        <f t="shared" si="17"/>
        <v>0.01</v>
      </c>
      <c r="AD11" s="11">
        <f t="shared" si="17"/>
        <v>0.01</v>
      </c>
      <c r="AE11" s="11">
        <f t="shared" si="17"/>
        <v>0.01</v>
      </c>
      <c r="AF11" s="11">
        <f t="shared" si="17"/>
        <v>0.01</v>
      </c>
      <c r="AG11" s="11">
        <f t="shared" si="17"/>
        <v>0.01</v>
      </c>
      <c r="AH11" s="11">
        <f t="shared" si="17"/>
        <v>0.01</v>
      </c>
      <c r="AI11" s="11">
        <f t="shared" si="17"/>
        <v>0.01</v>
      </c>
      <c r="AJ11" s="11">
        <f t="shared" si="17"/>
        <v>0.01</v>
      </c>
      <c r="AK11" s="11">
        <f t="shared" si="18"/>
        <v>0.01</v>
      </c>
      <c r="AL11" s="11">
        <f t="shared" si="18"/>
        <v>0.01</v>
      </c>
      <c r="AM11" s="11">
        <f t="shared" si="18"/>
        <v>0.01</v>
      </c>
      <c r="AN11" s="11">
        <f t="shared" si="18"/>
        <v>0.01</v>
      </c>
      <c r="AO11" s="11">
        <f t="shared" si="18"/>
        <v>0.01</v>
      </c>
      <c r="AP11" s="11">
        <f t="shared" si="19"/>
        <v>0.01</v>
      </c>
      <c r="AQ11" s="11">
        <f t="shared" si="20"/>
        <v>0.01</v>
      </c>
      <c r="AR11" s="11">
        <f t="shared" si="21"/>
        <v>0.01</v>
      </c>
      <c r="AS11" s="11">
        <f t="shared" si="22"/>
        <v>0.01</v>
      </c>
      <c r="AT11" s="11">
        <f t="shared" si="23"/>
        <v>0.01</v>
      </c>
      <c r="AU11" s="11">
        <f t="shared" si="24"/>
        <v>0.01</v>
      </c>
      <c r="AV11" s="11">
        <f t="shared" si="24"/>
        <v>0.01</v>
      </c>
    </row>
    <row r="12" spans="1:48" x14ac:dyDescent="0.2">
      <c r="A12" s="27" t="s">
        <v>12</v>
      </c>
      <c r="B12" s="7"/>
      <c r="C12" s="36">
        <v>0.02</v>
      </c>
      <c r="D12" s="11">
        <f t="shared" si="25"/>
        <v>0.02</v>
      </c>
      <c r="E12" s="11">
        <f t="shared" si="25"/>
        <v>0.02</v>
      </c>
      <c r="F12" s="11">
        <f t="shared" si="25"/>
        <v>0.02</v>
      </c>
      <c r="G12" s="11">
        <f t="shared" si="25"/>
        <v>0.02</v>
      </c>
      <c r="H12" s="11">
        <f t="shared" si="25"/>
        <v>0.02</v>
      </c>
      <c r="I12" s="11">
        <f t="shared" si="25"/>
        <v>0.02</v>
      </c>
      <c r="J12" s="11">
        <f t="shared" si="25"/>
        <v>0.02</v>
      </c>
      <c r="K12" s="11">
        <f t="shared" si="25"/>
        <v>0.02</v>
      </c>
      <c r="L12" s="11">
        <f t="shared" si="25"/>
        <v>0.02</v>
      </c>
      <c r="M12" s="11">
        <f t="shared" si="25"/>
        <v>0.02</v>
      </c>
      <c r="N12" s="11">
        <f t="shared" si="25"/>
        <v>0.02</v>
      </c>
      <c r="O12" s="11">
        <f t="shared" si="25"/>
        <v>0.02</v>
      </c>
      <c r="P12" s="11">
        <f t="shared" si="25"/>
        <v>0.02</v>
      </c>
      <c r="Q12" s="11">
        <f t="shared" si="25"/>
        <v>0.02</v>
      </c>
      <c r="R12" s="11">
        <f t="shared" si="25"/>
        <v>0.02</v>
      </c>
      <c r="S12" s="11">
        <f t="shared" si="25"/>
        <v>0.02</v>
      </c>
      <c r="T12" s="11">
        <f t="shared" si="16"/>
        <v>0.02</v>
      </c>
      <c r="U12" s="11">
        <f t="shared" si="17"/>
        <v>0.02</v>
      </c>
      <c r="V12" s="11">
        <f t="shared" si="17"/>
        <v>0.02</v>
      </c>
      <c r="W12" s="11">
        <f t="shared" si="17"/>
        <v>0.02</v>
      </c>
      <c r="X12" s="11">
        <f t="shared" si="17"/>
        <v>0.02</v>
      </c>
      <c r="Y12" s="11">
        <f t="shared" si="17"/>
        <v>0.02</v>
      </c>
      <c r="Z12" s="11">
        <f t="shared" si="17"/>
        <v>0.02</v>
      </c>
      <c r="AA12" s="11">
        <f t="shared" si="17"/>
        <v>0.02</v>
      </c>
      <c r="AB12" s="11">
        <f t="shared" si="17"/>
        <v>0.02</v>
      </c>
      <c r="AC12" s="11">
        <f t="shared" si="17"/>
        <v>0.02</v>
      </c>
      <c r="AD12" s="11">
        <f t="shared" si="17"/>
        <v>0.02</v>
      </c>
      <c r="AE12" s="11">
        <f t="shared" si="17"/>
        <v>0.02</v>
      </c>
      <c r="AF12" s="11">
        <f t="shared" si="17"/>
        <v>0.02</v>
      </c>
      <c r="AG12" s="11">
        <f t="shared" si="17"/>
        <v>0.02</v>
      </c>
      <c r="AH12" s="11">
        <f t="shared" si="17"/>
        <v>0.02</v>
      </c>
      <c r="AI12" s="11">
        <f t="shared" si="17"/>
        <v>0.02</v>
      </c>
      <c r="AJ12" s="11">
        <f t="shared" si="17"/>
        <v>0.02</v>
      </c>
      <c r="AK12" s="11">
        <f t="shared" si="18"/>
        <v>0.02</v>
      </c>
      <c r="AL12" s="11">
        <f t="shared" si="18"/>
        <v>0.02</v>
      </c>
      <c r="AM12" s="11">
        <f t="shared" si="18"/>
        <v>0.02</v>
      </c>
      <c r="AN12" s="11">
        <f t="shared" si="18"/>
        <v>0.02</v>
      </c>
      <c r="AO12" s="11">
        <f t="shared" si="18"/>
        <v>0.02</v>
      </c>
      <c r="AP12" s="11">
        <f t="shared" si="19"/>
        <v>0.02</v>
      </c>
      <c r="AQ12" s="11">
        <f t="shared" si="20"/>
        <v>0.02</v>
      </c>
      <c r="AR12" s="11">
        <f t="shared" si="21"/>
        <v>0.02</v>
      </c>
      <c r="AS12" s="11">
        <f t="shared" si="22"/>
        <v>0.02</v>
      </c>
      <c r="AT12" s="11">
        <f t="shared" si="23"/>
        <v>0.02</v>
      </c>
      <c r="AU12" s="11">
        <f t="shared" si="24"/>
        <v>0.02</v>
      </c>
      <c r="AV12" s="11">
        <f t="shared" si="24"/>
        <v>0.02</v>
      </c>
    </row>
    <row r="13" spans="1:48" x14ac:dyDescent="0.2">
      <c r="A13" s="18" t="s">
        <v>13</v>
      </c>
    </row>
    <row r="14" spans="1:48" x14ac:dyDescent="0.2">
      <c r="A14" s="27" t="s">
        <v>4</v>
      </c>
      <c r="B14" s="6"/>
      <c r="C14" s="257">
        <f>Inputs!C5</f>
        <v>0.4</v>
      </c>
      <c r="D14" s="7">
        <f>Inputs!C5</f>
        <v>0.4</v>
      </c>
      <c r="E14" s="7">
        <f t="shared" ref="E14:T17" si="26">D14</f>
        <v>0.4</v>
      </c>
      <c r="F14" s="7">
        <f t="shared" si="26"/>
        <v>0.4</v>
      </c>
      <c r="G14" s="7">
        <f t="shared" si="26"/>
        <v>0.4</v>
      </c>
      <c r="H14" s="7">
        <f t="shared" si="26"/>
        <v>0.4</v>
      </c>
      <c r="I14" s="7">
        <f t="shared" si="26"/>
        <v>0.4</v>
      </c>
      <c r="J14" s="7">
        <f t="shared" si="26"/>
        <v>0.4</v>
      </c>
      <c r="K14" s="7">
        <f t="shared" si="26"/>
        <v>0.4</v>
      </c>
      <c r="L14" s="7">
        <f t="shared" si="26"/>
        <v>0.4</v>
      </c>
      <c r="M14" s="7">
        <f t="shared" si="26"/>
        <v>0.4</v>
      </c>
      <c r="N14" s="7">
        <f t="shared" si="26"/>
        <v>0.4</v>
      </c>
      <c r="O14" s="7">
        <f t="shared" si="26"/>
        <v>0.4</v>
      </c>
      <c r="P14" s="7">
        <f t="shared" si="26"/>
        <v>0.4</v>
      </c>
      <c r="Q14" s="7">
        <f t="shared" si="26"/>
        <v>0.4</v>
      </c>
      <c r="R14" s="7">
        <f t="shared" si="26"/>
        <v>0.4</v>
      </c>
      <c r="S14" s="7">
        <f t="shared" si="26"/>
        <v>0.4</v>
      </c>
      <c r="T14" s="7">
        <f t="shared" si="26"/>
        <v>0.4</v>
      </c>
      <c r="U14" s="7">
        <f t="shared" ref="U14:AJ17" si="27">T14</f>
        <v>0.4</v>
      </c>
      <c r="V14" s="7">
        <f t="shared" si="27"/>
        <v>0.4</v>
      </c>
      <c r="W14" s="7">
        <f t="shared" si="27"/>
        <v>0.4</v>
      </c>
      <c r="X14" s="7">
        <f t="shared" si="27"/>
        <v>0.4</v>
      </c>
      <c r="Y14" s="7">
        <f t="shared" si="27"/>
        <v>0.4</v>
      </c>
      <c r="Z14" s="7">
        <f t="shared" si="27"/>
        <v>0.4</v>
      </c>
      <c r="AA14" s="7">
        <f t="shared" si="27"/>
        <v>0.4</v>
      </c>
      <c r="AB14" s="7">
        <f t="shared" si="27"/>
        <v>0.4</v>
      </c>
      <c r="AC14" s="7">
        <f t="shared" si="27"/>
        <v>0.4</v>
      </c>
      <c r="AD14" s="7">
        <f t="shared" si="27"/>
        <v>0.4</v>
      </c>
      <c r="AE14" s="7">
        <f t="shared" si="27"/>
        <v>0.4</v>
      </c>
      <c r="AF14" s="7">
        <f t="shared" si="27"/>
        <v>0.4</v>
      </c>
      <c r="AG14" s="7">
        <f t="shared" si="27"/>
        <v>0.4</v>
      </c>
      <c r="AH14" s="7">
        <f t="shared" si="27"/>
        <v>0.4</v>
      </c>
      <c r="AI14" s="7">
        <f t="shared" si="27"/>
        <v>0.4</v>
      </c>
      <c r="AJ14" s="7">
        <f t="shared" si="27"/>
        <v>0.4</v>
      </c>
      <c r="AK14" s="7">
        <f t="shared" ref="AK14:AO17" si="28">AJ14</f>
        <v>0.4</v>
      </c>
      <c r="AL14" s="7">
        <f t="shared" si="28"/>
        <v>0.4</v>
      </c>
      <c r="AM14" s="7">
        <f t="shared" si="28"/>
        <v>0.4</v>
      </c>
      <c r="AN14" s="7">
        <f t="shared" si="28"/>
        <v>0.4</v>
      </c>
      <c r="AO14" s="7">
        <f t="shared" si="28"/>
        <v>0.4</v>
      </c>
      <c r="AP14" s="7">
        <f t="shared" ref="AP14:AP17" si="29">AO14</f>
        <v>0.4</v>
      </c>
      <c r="AQ14" s="7">
        <f t="shared" ref="AQ14:AQ17" si="30">AP14</f>
        <v>0.4</v>
      </c>
      <c r="AR14" s="7">
        <f t="shared" ref="AR14:AR17" si="31">AQ14</f>
        <v>0.4</v>
      </c>
      <c r="AS14" s="7">
        <f t="shared" ref="AS14:AS17" si="32">AR14</f>
        <v>0.4</v>
      </c>
      <c r="AT14" s="7">
        <f t="shared" ref="AT14:AT17" si="33">AS14</f>
        <v>0.4</v>
      </c>
      <c r="AU14" s="7">
        <f t="shared" ref="AU14:AV17" si="34">AT14</f>
        <v>0.4</v>
      </c>
      <c r="AV14" s="7">
        <f t="shared" si="34"/>
        <v>0.4</v>
      </c>
    </row>
    <row r="15" spans="1:48" x14ac:dyDescent="0.2">
      <c r="A15" s="27" t="s">
        <v>5</v>
      </c>
      <c r="B15" s="7"/>
      <c r="C15" s="7">
        <f>Inputs!C6</f>
        <v>0.6</v>
      </c>
      <c r="D15" s="7">
        <f>Inputs!C6</f>
        <v>0.6</v>
      </c>
      <c r="E15" s="7">
        <f t="shared" ref="E15:S15" si="35">D15</f>
        <v>0.6</v>
      </c>
      <c r="F15" s="7">
        <f t="shared" si="35"/>
        <v>0.6</v>
      </c>
      <c r="G15" s="7">
        <f t="shared" si="35"/>
        <v>0.6</v>
      </c>
      <c r="H15" s="7">
        <f t="shared" si="35"/>
        <v>0.6</v>
      </c>
      <c r="I15" s="7">
        <f t="shared" si="35"/>
        <v>0.6</v>
      </c>
      <c r="J15" s="7">
        <f t="shared" si="35"/>
        <v>0.6</v>
      </c>
      <c r="K15" s="7">
        <f t="shared" si="35"/>
        <v>0.6</v>
      </c>
      <c r="L15" s="7">
        <f t="shared" si="35"/>
        <v>0.6</v>
      </c>
      <c r="M15" s="7">
        <f t="shared" si="35"/>
        <v>0.6</v>
      </c>
      <c r="N15" s="7">
        <f t="shared" si="35"/>
        <v>0.6</v>
      </c>
      <c r="O15" s="7">
        <f t="shared" si="35"/>
        <v>0.6</v>
      </c>
      <c r="P15" s="7">
        <f t="shared" si="35"/>
        <v>0.6</v>
      </c>
      <c r="Q15" s="7">
        <f t="shared" si="35"/>
        <v>0.6</v>
      </c>
      <c r="R15" s="7">
        <f t="shared" si="35"/>
        <v>0.6</v>
      </c>
      <c r="S15" s="7">
        <f t="shared" si="35"/>
        <v>0.6</v>
      </c>
      <c r="T15" s="7">
        <f t="shared" si="26"/>
        <v>0.6</v>
      </c>
      <c r="U15" s="7">
        <f t="shared" si="27"/>
        <v>0.6</v>
      </c>
      <c r="V15" s="7">
        <f t="shared" si="27"/>
        <v>0.6</v>
      </c>
      <c r="W15" s="7">
        <f t="shared" si="27"/>
        <v>0.6</v>
      </c>
      <c r="X15" s="7">
        <f t="shared" si="27"/>
        <v>0.6</v>
      </c>
      <c r="Y15" s="7">
        <f t="shared" si="27"/>
        <v>0.6</v>
      </c>
      <c r="Z15" s="7">
        <f t="shared" si="27"/>
        <v>0.6</v>
      </c>
      <c r="AA15" s="7">
        <f t="shared" si="27"/>
        <v>0.6</v>
      </c>
      <c r="AB15" s="7">
        <f t="shared" si="27"/>
        <v>0.6</v>
      </c>
      <c r="AC15" s="7">
        <f t="shared" si="27"/>
        <v>0.6</v>
      </c>
      <c r="AD15" s="7">
        <f t="shared" si="27"/>
        <v>0.6</v>
      </c>
      <c r="AE15" s="7">
        <f t="shared" si="27"/>
        <v>0.6</v>
      </c>
      <c r="AF15" s="7">
        <f t="shared" si="27"/>
        <v>0.6</v>
      </c>
      <c r="AG15" s="7">
        <f t="shared" si="27"/>
        <v>0.6</v>
      </c>
      <c r="AH15" s="7">
        <f t="shared" si="27"/>
        <v>0.6</v>
      </c>
      <c r="AI15" s="7">
        <f t="shared" si="27"/>
        <v>0.6</v>
      </c>
      <c r="AJ15" s="7">
        <f t="shared" si="27"/>
        <v>0.6</v>
      </c>
      <c r="AK15" s="7">
        <f t="shared" si="28"/>
        <v>0.6</v>
      </c>
      <c r="AL15" s="7">
        <f t="shared" si="28"/>
        <v>0.6</v>
      </c>
      <c r="AM15" s="7">
        <f t="shared" si="28"/>
        <v>0.6</v>
      </c>
      <c r="AN15" s="7">
        <f t="shared" si="28"/>
        <v>0.6</v>
      </c>
      <c r="AO15" s="7">
        <f t="shared" si="28"/>
        <v>0.6</v>
      </c>
      <c r="AP15" s="7">
        <f t="shared" si="29"/>
        <v>0.6</v>
      </c>
      <c r="AQ15" s="7">
        <f t="shared" si="30"/>
        <v>0.6</v>
      </c>
      <c r="AR15" s="7">
        <f t="shared" si="31"/>
        <v>0.6</v>
      </c>
      <c r="AS15" s="7">
        <f t="shared" si="32"/>
        <v>0.6</v>
      </c>
      <c r="AT15" s="7">
        <f t="shared" si="33"/>
        <v>0.6</v>
      </c>
      <c r="AU15" s="7">
        <f t="shared" si="34"/>
        <v>0.6</v>
      </c>
      <c r="AV15" s="7">
        <f t="shared" si="34"/>
        <v>0.6</v>
      </c>
    </row>
    <row r="16" spans="1:48" x14ac:dyDescent="0.2">
      <c r="A16" s="27" t="s">
        <v>6</v>
      </c>
      <c r="B16" s="6"/>
      <c r="C16" s="258">
        <f>Inputs!C7</f>
        <v>0.1</v>
      </c>
      <c r="D16" s="7">
        <f>Inputs!C7</f>
        <v>0.1</v>
      </c>
      <c r="E16" s="7">
        <f t="shared" ref="E16:S16" si="36">D16</f>
        <v>0.1</v>
      </c>
      <c r="F16" s="7">
        <f t="shared" si="36"/>
        <v>0.1</v>
      </c>
      <c r="G16" s="7">
        <f t="shared" si="36"/>
        <v>0.1</v>
      </c>
      <c r="H16" s="7">
        <f t="shared" si="36"/>
        <v>0.1</v>
      </c>
      <c r="I16" s="7">
        <f t="shared" si="36"/>
        <v>0.1</v>
      </c>
      <c r="J16" s="7">
        <f t="shared" si="36"/>
        <v>0.1</v>
      </c>
      <c r="K16" s="7">
        <f t="shared" si="36"/>
        <v>0.1</v>
      </c>
      <c r="L16" s="7">
        <f t="shared" si="36"/>
        <v>0.1</v>
      </c>
      <c r="M16" s="7">
        <f t="shared" si="36"/>
        <v>0.1</v>
      </c>
      <c r="N16" s="7">
        <f t="shared" si="36"/>
        <v>0.1</v>
      </c>
      <c r="O16" s="7">
        <f t="shared" si="36"/>
        <v>0.1</v>
      </c>
      <c r="P16" s="7">
        <f t="shared" si="36"/>
        <v>0.1</v>
      </c>
      <c r="Q16" s="7">
        <f t="shared" si="36"/>
        <v>0.1</v>
      </c>
      <c r="R16" s="7">
        <f t="shared" si="36"/>
        <v>0.1</v>
      </c>
      <c r="S16" s="7">
        <f t="shared" si="36"/>
        <v>0.1</v>
      </c>
      <c r="T16" s="7">
        <f t="shared" si="26"/>
        <v>0.1</v>
      </c>
      <c r="U16" s="7">
        <f t="shared" si="27"/>
        <v>0.1</v>
      </c>
      <c r="V16" s="7">
        <f t="shared" si="27"/>
        <v>0.1</v>
      </c>
      <c r="W16" s="7">
        <f t="shared" si="27"/>
        <v>0.1</v>
      </c>
      <c r="X16" s="7">
        <f t="shared" si="27"/>
        <v>0.1</v>
      </c>
      <c r="Y16" s="7">
        <f t="shared" si="27"/>
        <v>0.1</v>
      </c>
      <c r="Z16" s="7">
        <f t="shared" si="27"/>
        <v>0.1</v>
      </c>
      <c r="AA16" s="7">
        <f t="shared" si="27"/>
        <v>0.1</v>
      </c>
      <c r="AB16" s="7">
        <f t="shared" si="27"/>
        <v>0.1</v>
      </c>
      <c r="AC16" s="7">
        <f t="shared" si="27"/>
        <v>0.1</v>
      </c>
      <c r="AD16" s="7">
        <f t="shared" si="27"/>
        <v>0.1</v>
      </c>
      <c r="AE16" s="7">
        <f t="shared" si="27"/>
        <v>0.1</v>
      </c>
      <c r="AF16" s="7">
        <f t="shared" si="27"/>
        <v>0.1</v>
      </c>
      <c r="AG16" s="7">
        <f t="shared" si="27"/>
        <v>0.1</v>
      </c>
      <c r="AH16" s="7">
        <f t="shared" si="27"/>
        <v>0.1</v>
      </c>
      <c r="AI16" s="7">
        <f t="shared" si="27"/>
        <v>0.1</v>
      </c>
      <c r="AJ16" s="7">
        <f t="shared" si="27"/>
        <v>0.1</v>
      </c>
      <c r="AK16" s="7">
        <f t="shared" si="28"/>
        <v>0.1</v>
      </c>
      <c r="AL16" s="7">
        <f t="shared" si="28"/>
        <v>0.1</v>
      </c>
      <c r="AM16" s="7">
        <f t="shared" si="28"/>
        <v>0.1</v>
      </c>
      <c r="AN16" s="7">
        <f t="shared" si="28"/>
        <v>0.1</v>
      </c>
      <c r="AO16" s="7">
        <f t="shared" si="28"/>
        <v>0.1</v>
      </c>
      <c r="AP16" s="7">
        <f t="shared" si="29"/>
        <v>0.1</v>
      </c>
      <c r="AQ16" s="7">
        <f t="shared" si="30"/>
        <v>0.1</v>
      </c>
      <c r="AR16" s="7">
        <f t="shared" si="31"/>
        <v>0.1</v>
      </c>
      <c r="AS16" s="7">
        <f t="shared" si="32"/>
        <v>0.1</v>
      </c>
      <c r="AT16" s="7">
        <f t="shared" si="33"/>
        <v>0.1</v>
      </c>
      <c r="AU16" s="7">
        <f t="shared" si="34"/>
        <v>0.1</v>
      </c>
      <c r="AV16" s="7">
        <f t="shared" si="34"/>
        <v>0.1</v>
      </c>
    </row>
    <row r="17" spans="1:48" x14ac:dyDescent="0.2">
      <c r="A17" s="27" t="s">
        <v>8</v>
      </c>
      <c r="B17" s="6"/>
      <c r="C17" s="258">
        <f>Inputs!C8</f>
        <v>0.05</v>
      </c>
      <c r="D17" s="7">
        <f>Inputs!C8</f>
        <v>0.05</v>
      </c>
      <c r="E17" s="7">
        <f t="shared" ref="E17:S17" si="37">D17</f>
        <v>0.05</v>
      </c>
      <c r="F17" s="7">
        <f t="shared" si="37"/>
        <v>0.05</v>
      </c>
      <c r="G17" s="7">
        <f t="shared" si="37"/>
        <v>0.05</v>
      </c>
      <c r="H17" s="7">
        <f t="shared" si="37"/>
        <v>0.05</v>
      </c>
      <c r="I17" s="7">
        <f t="shared" si="37"/>
        <v>0.05</v>
      </c>
      <c r="J17" s="7">
        <f t="shared" si="37"/>
        <v>0.05</v>
      </c>
      <c r="K17" s="7">
        <f t="shared" si="37"/>
        <v>0.05</v>
      </c>
      <c r="L17" s="7">
        <f t="shared" si="37"/>
        <v>0.05</v>
      </c>
      <c r="M17" s="7">
        <f t="shared" si="37"/>
        <v>0.05</v>
      </c>
      <c r="N17" s="7">
        <f t="shared" si="37"/>
        <v>0.05</v>
      </c>
      <c r="O17" s="7">
        <f t="shared" si="37"/>
        <v>0.05</v>
      </c>
      <c r="P17" s="7">
        <f t="shared" si="37"/>
        <v>0.05</v>
      </c>
      <c r="Q17" s="7">
        <f t="shared" si="37"/>
        <v>0.05</v>
      </c>
      <c r="R17" s="7">
        <f t="shared" si="37"/>
        <v>0.05</v>
      </c>
      <c r="S17" s="7">
        <f t="shared" si="37"/>
        <v>0.05</v>
      </c>
      <c r="T17" s="7">
        <f t="shared" si="26"/>
        <v>0.05</v>
      </c>
      <c r="U17" s="7">
        <f t="shared" si="27"/>
        <v>0.05</v>
      </c>
      <c r="V17" s="7">
        <f t="shared" si="27"/>
        <v>0.05</v>
      </c>
      <c r="W17" s="7">
        <f t="shared" si="27"/>
        <v>0.05</v>
      </c>
      <c r="X17" s="7">
        <f t="shared" si="27"/>
        <v>0.05</v>
      </c>
      <c r="Y17" s="7">
        <f t="shared" si="27"/>
        <v>0.05</v>
      </c>
      <c r="Z17" s="7">
        <f t="shared" si="27"/>
        <v>0.05</v>
      </c>
      <c r="AA17" s="7">
        <f t="shared" si="27"/>
        <v>0.05</v>
      </c>
      <c r="AB17" s="7">
        <f t="shared" si="27"/>
        <v>0.05</v>
      </c>
      <c r="AC17" s="7">
        <f t="shared" si="27"/>
        <v>0.05</v>
      </c>
      <c r="AD17" s="7">
        <f t="shared" si="27"/>
        <v>0.05</v>
      </c>
      <c r="AE17" s="7">
        <f t="shared" si="27"/>
        <v>0.05</v>
      </c>
      <c r="AF17" s="7">
        <f t="shared" si="27"/>
        <v>0.05</v>
      </c>
      <c r="AG17" s="7">
        <f t="shared" si="27"/>
        <v>0.05</v>
      </c>
      <c r="AH17" s="7">
        <f t="shared" si="27"/>
        <v>0.05</v>
      </c>
      <c r="AI17" s="7">
        <f t="shared" si="27"/>
        <v>0.05</v>
      </c>
      <c r="AJ17" s="7">
        <f t="shared" si="27"/>
        <v>0.05</v>
      </c>
      <c r="AK17" s="7">
        <f t="shared" si="28"/>
        <v>0.05</v>
      </c>
      <c r="AL17" s="7">
        <f t="shared" si="28"/>
        <v>0.05</v>
      </c>
      <c r="AM17" s="7">
        <f t="shared" si="28"/>
        <v>0.05</v>
      </c>
      <c r="AN17" s="7">
        <f t="shared" si="28"/>
        <v>0.05</v>
      </c>
      <c r="AO17" s="7">
        <f t="shared" si="28"/>
        <v>0.05</v>
      </c>
      <c r="AP17" s="7">
        <f t="shared" si="29"/>
        <v>0.05</v>
      </c>
      <c r="AQ17" s="7">
        <f t="shared" si="30"/>
        <v>0.05</v>
      </c>
      <c r="AR17" s="7">
        <f t="shared" si="31"/>
        <v>0.05</v>
      </c>
      <c r="AS17" s="7">
        <f t="shared" si="32"/>
        <v>0.05</v>
      </c>
      <c r="AT17" s="7">
        <f t="shared" si="33"/>
        <v>0.05</v>
      </c>
      <c r="AU17" s="7">
        <f t="shared" si="34"/>
        <v>0.05</v>
      </c>
      <c r="AV17" s="7">
        <f t="shared" si="34"/>
        <v>0.05</v>
      </c>
    </row>
    <row r="18" spans="1:48" x14ac:dyDescent="0.2">
      <c r="A18" s="18" t="s">
        <v>11</v>
      </c>
    </row>
    <row r="19" spans="1:48" x14ac:dyDescent="0.2">
      <c r="A19" s="27" t="s">
        <v>7</v>
      </c>
      <c r="B19" s="12"/>
      <c r="C19" s="39">
        <v>0.31</v>
      </c>
      <c r="D19" s="13">
        <f>C19</f>
        <v>0.31</v>
      </c>
      <c r="E19" s="13">
        <f t="shared" ref="E19:AO19" si="38">D19</f>
        <v>0.31</v>
      </c>
      <c r="F19" s="13">
        <f t="shared" si="38"/>
        <v>0.31</v>
      </c>
      <c r="G19" s="13">
        <f t="shared" si="38"/>
        <v>0.31</v>
      </c>
      <c r="H19" s="13">
        <f t="shared" si="38"/>
        <v>0.31</v>
      </c>
      <c r="I19" s="13">
        <f t="shared" si="38"/>
        <v>0.31</v>
      </c>
      <c r="J19" s="13">
        <f t="shared" si="38"/>
        <v>0.31</v>
      </c>
      <c r="K19" s="13">
        <f t="shared" si="38"/>
        <v>0.31</v>
      </c>
      <c r="L19" s="13">
        <f t="shared" si="38"/>
        <v>0.31</v>
      </c>
      <c r="M19" s="13">
        <f t="shared" si="38"/>
        <v>0.31</v>
      </c>
      <c r="N19" s="13">
        <f t="shared" si="38"/>
        <v>0.31</v>
      </c>
      <c r="O19" s="13">
        <f t="shared" si="38"/>
        <v>0.31</v>
      </c>
      <c r="P19" s="13">
        <f t="shared" si="38"/>
        <v>0.31</v>
      </c>
      <c r="Q19" s="13">
        <f t="shared" si="38"/>
        <v>0.31</v>
      </c>
      <c r="R19" s="13">
        <f t="shared" si="38"/>
        <v>0.31</v>
      </c>
      <c r="S19" s="13">
        <f t="shared" si="38"/>
        <v>0.31</v>
      </c>
      <c r="T19" s="13">
        <f t="shared" si="38"/>
        <v>0.31</v>
      </c>
      <c r="U19" s="13">
        <f t="shared" si="38"/>
        <v>0.31</v>
      </c>
      <c r="V19" s="13">
        <f t="shared" si="38"/>
        <v>0.31</v>
      </c>
      <c r="W19" s="13">
        <f t="shared" si="38"/>
        <v>0.31</v>
      </c>
      <c r="X19" s="13">
        <f t="shared" si="38"/>
        <v>0.31</v>
      </c>
      <c r="Y19" s="13">
        <f t="shared" si="38"/>
        <v>0.31</v>
      </c>
      <c r="Z19" s="13">
        <f t="shared" si="38"/>
        <v>0.31</v>
      </c>
      <c r="AA19" s="13">
        <f t="shared" si="38"/>
        <v>0.31</v>
      </c>
      <c r="AB19" s="13">
        <f t="shared" si="38"/>
        <v>0.31</v>
      </c>
      <c r="AC19" s="13">
        <f t="shared" si="38"/>
        <v>0.31</v>
      </c>
      <c r="AD19" s="13">
        <f t="shared" si="38"/>
        <v>0.31</v>
      </c>
      <c r="AE19" s="13">
        <f t="shared" si="38"/>
        <v>0.31</v>
      </c>
      <c r="AF19" s="13">
        <f t="shared" si="38"/>
        <v>0.31</v>
      </c>
      <c r="AG19" s="13">
        <f t="shared" si="38"/>
        <v>0.31</v>
      </c>
      <c r="AH19" s="13">
        <f t="shared" si="38"/>
        <v>0.31</v>
      </c>
      <c r="AI19" s="13">
        <f t="shared" si="38"/>
        <v>0.31</v>
      </c>
      <c r="AJ19" s="13">
        <f t="shared" si="38"/>
        <v>0.31</v>
      </c>
      <c r="AK19" s="13">
        <f t="shared" si="38"/>
        <v>0.31</v>
      </c>
      <c r="AL19" s="13">
        <f t="shared" si="38"/>
        <v>0.31</v>
      </c>
      <c r="AM19" s="13">
        <f t="shared" si="38"/>
        <v>0.31</v>
      </c>
      <c r="AN19" s="13">
        <f t="shared" si="38"/>
        <v>0.31</v>
      </c>
      <c r="AO19" s="13">
        <f t="shared" si="38"/>
        <v>0.31</v>
      </c>
      <c r="AP19" s="13">
        <f t="shared" ref="AP19" si="39">AO19</f>
        <v>0.31</v>
      </c>
      <c r="AQ19" s="13">
        <f t="shared" ref="AQ19" si="40">AP19</f>
        <v>0.31</v>
      </c>
      <c r="AR19" s="13">
        <f t="shared" ref="AR19" si="41">AQ19</f>
        <v>0.31</v>
      </c>
      <c r="AS19" s="13">
        <f t="shared" ref="AS19" si="42">AR19</f>
        <v>0.31</v>
      </c>
      <c r="AT19" s="13">
        <f t="shared" ref="AT19" si="43">AS19</f>
        <v>0.31</v>
      </c>
      <c r="AU19" s="13">
        <f t="shared" ref="AU19:AV19" si="44">AT19</f>
        <v>0.31</v>
      </c>
      <c r="AV19" s="13">
        <f t="shared" si="44"/>
        <v>0.31</v>
      </c>
    </row>
    <row r="20" spans="1:48" x14ac:dyDescent="0.2">
      <c r="A20" s="27" t="s">
        <v>14</v>
      </c>
      <c r="C20" s="3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2">
      <c r="A21" s="27" t="s">
        <v>15</v>
      </c>
      <c r="B21" s="6"/>
      <c r="C21" s="38">
        <v>0.08</v>
      </c>
      <c r="D21" s="7">
        <f t="shared" ref="D21:S26" si="45">C21</f>
        <v>0.08</v>
      </c>
      <c r="E21" s="7">
        <f t="shared" si="45"/>
        <v>0.08</v>
      </c>
      <c r="F21" s="7">
        <f t="shared" si="45"/>
        <v>0.08</v>
      </c>
      <c r="G21" s="7">
        <f t="shared" si="45"/>
        <v>0.08</v>
      </c>
      <c r="H21" s="7">
        <f t="shared" si="45"/>
        <v>0.08</v>
      </c>
      <c r="I21" s="7">
        <f t="shared" si="45"/>
        <v>0.08</v>
      </c>
      <c r="J21" s="7">
        <f t="shared" si="45"/>
        <v>0.08</v>
      </c>
      <c r="K21" s="7">
        <f t="shared" si="45"/>
        <v>0.08</v>
      </c>
      <c r="L21" s="7">
        <f t="shared" si="45"/>
        <v>0.08</v>
      </c>
      <c r="M21" s="7">
        <f t="shared" si="45"/>
        <v>0.08</v>
      </c>
      <c r="N21" s="7">
        <f t="shared" si="45"/>
        <v>0.08</v>
      </c>
      <c r="O21" s="7">
        <f t="shared" si="45"/>
        <v>0.08</v>
      </c>
      <c r="P21" s="7">
        <f t="shared" si="45"/>
        <v>0.08</v>
      </c>
      <c r="Q21" s="7">
        <f t="shared" si="45"/>
        <v>0.08</v>
      </c>
      <c r="R21" s="7">
        <f t="shared" si="45"/>
        <v>0.08</v>
      </c>
      <c r="S21" s="7">
        <f t="shared" si="45"/>
        <v>0.08</v>
      </c>
      <c r="T21" s="7">
        <f t="shared" ref="T21:AI26" si="46">S21</f>
        <v>0.08</v>
      </c>
      <c r="U21" s="7">
        <f t="shared" si="46"/>
        <v>0.08</v>
      </c>
      <c r="V21" s="7">
        <f t="shared" si="46"/>
        <v>0.08</v>
      </c>
      <c r="W21" s="7">
        <f t="shared" si="46"/>
        <v>0.08</v>
      </c>
      <c r="X21" s="7">
        <f t="shared" si="46"/>
        <v>0.08</v>
      </c>
      <c r="Y21" s="7">
        <f t="shared" si="46"/>
        <v>0.08</v>
      </c>
      <c r="Z21" s="7">
        <f t="shared" si="46"/>
        <v>0.08</v>
      </c>
      <c r="AA21" s="7">
        <f t="shared" si="46"/>
        <v>0.08</v>
      </c>
      <c r="AB21" s="7">
        <f t="shared" si="46"/>
        <v>0.08</v>
      </c>
      <c r="AC21" s="7">
        <f t="shared" si="46"/>
        <v>0.08</v>
      </c>
      <c r="AD21" s="7">
        <f t="shared" si="46"/>
        <v>0.08</v>
      </c>
      <c r="AE21" s="7">
        <f t="shared" si="46"/>
        <v>0.08</v>
      </c>
      <c r="AF21" s="7">
        <f t="shared" si="46"/>
        <v>0.08</v>
      </c>
      <c r="AG21" s="7">
        <f t="shared" si="46"/>
        <v>0.08</v>
      </c>
      <c r="AH21" s="7">
        <f t="shared" si="46"/>
        <v>0.08</v>
      </c>
      <c r="AI21" s="7">
        <f t="shared" si="46"/>
        <v>0.08</v>
      </c>
      <c r="AJ21" s="7">
        <f t="shared" ref="AJ21:AO26" si="47">AI21</f>
        <v>0.08</v>
      </c>
      <c r="AK21" s="7">
        <f t="shared" si="47"/>
        <v>0.08</v>
      </c>
      <c r="AL21" s="7">
        <f t="shared" si="47"/>
        <v>0.08</v>
      </c>
      <c r="AM21" s="7">
        <f t="shared" si="47"/>
        <v>0.08</v>
      </c>
      <c r="AN21" s="7">
        <f t="shared" si="47"/>
        <v>0.08</v>
      </c>
      <c r="AO21" s="7">
        <f t="shared" si="47"/>
        <v>0.08</v>
      </c>
      <c r="AP21" s="7">
        <f t="shared" ref="AP21:AP26" si="48">AO21</f>
        <v>0.08</v>
      </c>
      <c r="AQ21" s="7">
        <f t="shared" ref="AQ21:AQ26" si="49">AP21</f>
        <v>0.08</v>
      </c>
      <c r="AR21" s="7">
        <f t="shared" ref="AR21:AR26" si="50">AQ21</f>
        <v>0.08</v>
      </c>
      <c r="AS21" s="7">
        <f t="shared" ref="AS21:AS26" si="51">AR21</f>
        <v>0.08</v>
      </c>
      <c r="AT21" s="7">
        <f t="shared" ref="AT21:AT26" si="52">AS21</f>
        <v>0.08</v>
      </c>
      <c r="AU21" s="7">
        <f t="shared" ref="AU21:AV26" si="53">AT21</f>
        <v>0.08</v>
      </c>
      <c r="AV21" s="7">
        <f t="shared" si="53"/>
        <v>0.08</v>
      </c>
    </row>
    <row r="22" spans="1:48" x14ac:dyDescent="0.2">
      <c r="A22" s="27" t="s">
        <v>16</v>
      </c>
      <c r="B22" s="6"/>
      <c r="C22" s="36">
        <v>1</v>
      </c>
      <c r="D22" s="7">
        <f t="shared" si="45"/>
        <v>1</v>
      </c>
      <c r="E22" s="7">
        <f t="shared" si="45"/>
        <v>1</v>
      </c>
      <c r="F22" s="7">
        <f t="shared" si="45"/>
        <v>1</v>
      </c>
      <c r="G22" s="7">
        <f t="shared" si="45"/>
        <v>1</v>
      </c>
      <c r="H22" s="7">
        <f t="shared" si="45"/>
        <v>1</v>
      </c>
      <c r="I22" s="7">
        <f t="shared" si="45"/>
        <v>1</v>
      </c>
      <c r="J22" s="7">
        <f t="shared" si="45"/>
        <v>1</v>
      </c>
      <c r="K22" s="7">
        <f t="shared" si="45"/>
        <v>1</v>
      </c>
      <c r="L22" s="7">
        <f t="shared" si="45"/>
        <v>1</v>
      </c>
      <c r="M22" s="7">
        <f t="shared" si="45"/>
        <v>1</v>
      </c>
      <c r="N22" s="7">
        <f t="shared" si="45"/>
        <v>1</v>
      </c>
      <c r="O22" s="7">
        <f t="shared" si="45"/>
        <v>1</v>
      </c>
      <c r="P22" s="7">
        <f t="shared" si="45"/>
        <v>1</v>
      </c>
      <c r="Q22" s="7">
        <f t="shared" si="45"/>
        <v>1</v>
      </c>
      <c r="R22" s="7">
        <f t="shared" si="45"/>
        <v>1</v>
      </c>
      <c r="S22" s="7">
        <f t="shared" si="45"/>
        <v>1</v>
      </c>
      <c r="T22" s="7">
        <f t="shared" si="46"/>
        <v>1</v>
      </c>
      <c r="U22" s="7">
        <f t="shared" si="46"/>
        <v>1</v>
      </c>
      <c r="V22" s="7">
        <f t="shared" si="46"/>
        <v>1</v>
      </c>
      <c r="W22" s="7">
        <f t="shared" si="46"/>
        <v>1</v>
      </c>
      <c r="X22" s="7">
        <f t="shared" si="46"/>
        <v>1</v>
      </c>
      <c r="Y22" s="7">
        <f t="shared" si="46"/>
        <v>1</v>
      </c>
      <c r="Z22" s="7">
        <f t="shared" si="46"/>
        <v>1</v>
      </c>
      <c r="AA22" s="7">
        <f t="shared" si="46"/>
        <v>1</v>
      </c>
      <c r="AB22" s="7">
        <f t="shared" si="46"/>
        <v>1</v>
      </c>
      <c r="AC22" s="7">
        <f t="shared" si="46"/>
        <v>1</v>
      </c>
      <c r="AD22" s="7">
        <f t="shared" si="46"/>
        <v>1</v>
      </c>
      <c r="AE22" s="7">
        <f t="shared" si="46"/>
        <v>1</v>
      </c>
      <c r="AF22" s="7">
        <f t="shared" si="46"/>
        <v>1</v>
      </c>
      <c r="AG22" s="7">
        <f t="shared" si="46"/>
        <v>1</v>
      </c>
      <c r="AH22" s="7">
        <f t="shared" si="46"/>
        <v>1</v>
      </c>
      <c r="AI22" s="7">
        <f t="shared" si="46"/>
        <v>1</v>
      </c>
      <c r="AJ22" s="7">
        <f t="shared" si="47"/>
        <v>1</v>
      </c>
      <c r="AK22" s="7">
        <f t="shared" si="47"/>
        <v>1</v>
      </c>
      <c r="AL22" s="7">
        <f t="shared" si="47"/>
        <v>1</v>
      </c>
      <c r="AM22" s="7">
        <f t="shared" si="47"/>
        <v>1</v>
      </c>
      <c r="AN22" s="7">
        <f t="shared" si="47"/>
        <v>1</v>
      </c>
      <c r="AO22" s="7">
        <f t="shared" si="47"/>
        <v>1</v>
      </c>
      <c r="AP22" s="7">
        <f t="shared" si="48"/>
        <v>1</v>
      </c>
      <c r="AQ22" s="7">
        <f t="shared" si="49"/>
        <v>1</v>
      </c>
      <c r="AR22" s="7">
        <f t="shared" si="50"/>
        <v>1</v>
      </c>
      <c r="AS22" s="7">
        <f t="shared" si="51"/>
        <v>1</v>
      </c>
      <c r="AT22" s="7">
        <f t="shared" si="52"/>
        <v>1</v>
      </c>
      <c r="AU22" s="7">
        <f t="shared" si="53"/>
        <v>1</v>
      </c>
      <c r="AV22" s="7">
        <f t="shared" si="53"/>
        <v>1</v>
      </c>
    </row>
    <row r="23" spans="1:48" x14ac:dyDescent="0.2">
      <c r="A23" s="27" t="s">
        <v>17</v>
      </c>
      <c r="B23" s="6"/>
      <c r="C23" s="36">
        <v>0</v>
      </c>
      <c r="D23" s="7">
        <f t="shared" si="45"/>
        <v>0</v>
      </c>
      <c r="E23" s="7">
        <f t="shared" si="45"/>
        <v>0</v>
      </c>
      <c r="F23" s="7">
        <f t="shared" si="45"/>
        <v>0</v>
      </c>
      <c r="G23" s="7">
        <f t="shared" si="45"/>
        <v>0</v>
      </c>
      <c r="H23" s="7">
        <f t="shared" si="45"/>
        <v>0</v>
      </c>
      <c r="I23" s="7">
        <f t="shared" si="45"/>
        <v>0</v>
      </c>
      <c r="J23" s="7">
        <f t="shared" si="45"/>
        <v>0</v>
      </c>
      <c r="K23" s="7">
        <f t="shared" si="45"/>
        <v>0</v>
      </c>
      <c r="L23" s="7">
        <f t="shared" si="45"/>
        <v>0</v>
      </c>
      <c r="M23" s="7">
        <f t="shared" si="45"/>
        <v>0</v>
      </c>
      <c r="N23" s="7">
        <f t="shared" si="45"/>
        <v>0</v>
      </c>
      <c r="O23" s="7">
        <f t="shared" si="45"/>
        <v>0</v>
      </c>
      <c r="P23" s="7">
        <f t="shared" si="45"/>
        <v>0</v>
      </c>
      <c r="Q23" s="7">
        <f t="shared" si="45"/>
        <v>0</v>
      </c>
      <c r="R23" s="7">
        <f t="shared" si="45"/>
        <v>0</v>
      </c>
      <c r="S23" s="7">
        <f t="shared" si="45"/>
        <v>0</v>
      </c>
      <c r="T23" s="7">
        <f t="shared" si="46"/>
        <v>0</v>
      </c>
      <c r="U23" s="7">
        <f t="shared" si="46"/>
        <v>0</v>
      </c>
      <c r="V23" s="7">
        <f t="shared" si="46"/>
        <v>0</v>
      </c>
      <c r="W23" s="7">
        <f t="shared" si="46"/>
        <v>0</v>
      </c>
      <c r="X23" s="7">
        <f t="shared" si="46"/>
        <v>0</v>
      </c>
      <c r="Y23" s="7">
        <f t="shared" si="46"/>
        <v>0</v>
      </c>
      <c r="Z23" s="7">
        <f t="shared" si="46"/>
        <v>0</v>
      </c>
      <c r="AA23" s="7">
        <f t="shared" si="46"/>
        <v>0</v>
      </c>
      <c r="AB23" s="7">
        <f t="shared" si="46"/>
        <v>0</v>
      </c>
      <c r="AC23" s="7">
        <f t="shared" si="46"/>
        <v>0</v>
      </c>
      <c r="AD23" s="7">
        <f t="shared" si="46"/>
        <v>0</v>
      </c>
      <c r="AE23" s="7">
        <f t="shared" si="46"/>
        <v>0</v>
      </c>
      <c r="AF23" s="7">
        <f t="shared" si="46"/>
        <v>0</v>
      </c>
      <c r="AG23" s="7">
        <f t="shared" si="46"/>
        <v>0</v>
      </c>
      <c r="AH23" s="7">
        <f t="shared" si="46"/>
        <v>0</v>
      </c>
      <c r="AI23" s="7">
        <f t="shared" si="46"/>
        <v>0</v>
      </c>
      <c r="AJ23" s="7">
        <f t="shared" si="47"/>
        <v>0</v>
      </c>
      <c r="AK23" s="7">
        <f t="shared" si="47"/>
        <v>0</v>
      </c>
      <c r="AL23" s="7">
        <f t="shared" si="47"/>
        <v>0</v>
      </c>
      <c r="AM23" s="7">
        <f t="shared" si="47"/>
        <v>0</v>
      </c>
      <c r="AN23" s="7">
        <f t="shared" si="47"/>
        <v>0</v>
      </c>
      <c r="AO23" s="7">
        <f t="shared" si="47"/>
        <v>0</v>
      </c>
      <c r="AP23" s="7">
        <f t="shared" si="48"/>
        <v>0</v>
      </c>
      <c r="AQ23" s="7">
        <f t="shared" si="49"/>
        <v>0</v>
      </c>
      <c r="AR23" s="7">
        <f t="shared" si="50"/>
        <v>0</v>
      </c>
      <c r="AS23" s="7">
        <f t="shared" si="51"/>
        <v>0</v>
      </c>
      <c r="AT23" s="7">
        <f t="shared" si="52"/>
        <v>0</v>
      </c>
      <c r="AU23" s="7">
        <f t="shared" si="53"/>
        <v>0</v>
      </c>
      <c r="AV23" s="7">
        <f t="shared" si="53"/>
        <v>0</v>
      </c>
    </row>
    <row r="24" spans="1:48" x14ac:dyDescent="0.2">
      <c r="A24" s="27" t="s">
        <v>16</v>
      </c>
      <c r="B24" s="6"/>
      <c r="C24" s="36">
        <v>0</v>
      </c>
      <c r="D24" s="7">
        <f t="shared" si="45"/>
        <v>0</v>
      </c>
      <c r="E24" s="7">
        <f t="shared" si="45"/>
        <v>0</v>
      </c>
      <c r="F24" s="7">
        <f t="shared" si="45"/>
        <v>0</v>
      </c>
      <c r="G24" s="7">
        <f t="shared" si="45"/>
        <v>0</v>
      </c>
      <c r="H24" s="7">
        <f t="shared" si="45"/>
        <v>0</v>
      </c>
      <c r="I24" s="7">
        <f t="shared" si="45"/>
        <v>0</v>
      </c>
      <c r="J24" s="7">
        <f t="shared" si="45"/>
        <v>0</v>
      </c>
      <c r="K24" s="7">
        <f t="shared" si="45"/>
        <v>0</v>
      </c>
      <c r="L24" s="7">
        <f t="shared" si="45"/>
        <v>0</v>
      </c>
      <c r="M24" s="7">
        <f t="shared" si="45"/>
        <v>0</v>
      </c>
      <c r="N24" s="7">
        <f t="shared" si="45"/>
        <v>0</v>
      </c>
      <c r="O24" s="7">
        <f t="shared" si="45"/>
        <v>0</v>
      </c>
      <c r="P24" s="7">
        <f t="shared" si="45"/>
        <v>0</v>
      </c>
      <c r="Q24" s="7">
        <f t="shared" si="45"/>
        <v>0</v>
      </c>
      <c r="R24" s="7">
        <f t="shared" si="45"/>
        <v>0</v>
      </c>
      <c r="S24" s="7">
        <f t="shared" si="45"/>
        <v>0</v>
      </c>
      <c r="T24" s="7">
        <f t="shared" si="46"/>
        <v>0</v>
      </c>
      <c r="U24" s="7">
        <f t="shared" si="46"/>
        <v>0</v>
      </c>
      <c r="V24" s="7">
        <f t="shared" si="46"/>
        <v>0</v>
      </c>
      <c r="W24" s="7">
        <f t="shared" si="46"/>
        <v>0</v>
      </c>
      <c r="X24" s="7">
        <f t="shared" si="46"/>
        <v>0</v>
      </c>
      <c r="Y24" s="7">
        <f t="shared" si="46"/>
        <v>0</v>
      </c>
      <c r="Z24" s="7">
        <f t="shared" si="46"/>
        <v>0</v>
      </c>
      <c r="AA24" s="7">
        <f t="shared" si="46"/>
        <v>0</v>
      </c>
      <c r="AB24" s="7">
        <f t="shared" si="46"/>
        <v>0</v>
      </c>
      <c r="AC24" s="7">
        <f t="shared" si="46"/>
        <v>0</v>
      </c>
      <c r="AD24" s="7">
        <f t="shared" si="46"/>
        <v>0</v>
      </c>
      <c r="AE24" s="7">
        <f t="shared" si="46"/>
        <v>0</v>
      </c>
      <c r="AF24" s="7">
        <f t="shared" si="46"/>
        <v>0</v>
      </c>
      <c r="AG24" s="7">
        <f t="shared" si="46"/>
        <v>0</v>
      </c>
      <c r="AH24" s="7">
        <f t="shared" si="46"/>
        <v>0</v>
      </c>
      <c r="AI24" s="7">
        <f t="shared" si="46"/>
        <v>0</v>
      </c>
      <c r="AJ24" s="7">
        <f t="shared" si="47"/>
        <v>0</v>
      </c>
      <c r="AK24" s="7">
        <f t="shared" si="47"/>
        <v>0</v>
      </c>
      <c r="AL24" s="7">
        <f t="shared" si="47"/>
        <v>0</v>
      </c>
      <c r="AM24" s="7">
        <f t="shared" si="47"/>
        <v>0</v>
      </c>
      <c r="AN24" s="7">
        <f t="shared" si="47"/>
        <v>0</v>
      </c>
      <c r="AO24" s="7">
        <f t="shared" si="47"/>
        <v>0</v>
      </c>
      <c r="AP24" s="7">
        <f t="shared" si="48"/>
        <v>0</v>
      </c>
      <c r="AQ24" s="7">
        <f t="shared" si="49"/>
        <v>0</v>
      </c>
      <c r="AR24" s="7">
        <f t="shared" si="50"/>
        <v>0</v>
      </c>
      <c r="AS24" s="7">
        <f t="shared" si="51"/>
        <v>0</v>
      </c>
      <c r="AT24" s="7">
        <f t="shared" si="52"/>
        <v>0</v>
      </c>
      <c r="AU24" s="7">
        <f t="shared" si="53"/>
        <v>0</v>
      </c>
      <c r="AV24" s="7">
        <f t="shared" si="53"/>
        <v>0</v>
      </c>
    </row>
    <row r="25" spans="1:48" x14ac:dyDescent="0.2">
      <c r="A25" s="27" t="s">
        <v>18</v>
      </c>
      <c r="B25" s="6"/>
      <c r="C25" s="36">
        <v>0</v>
      </c>
      <c r="D25" s="7">
        <f t="shared" si="45"/>
        <v>0</v>
      </c>
      <c r="E25" s="7">
        <f t="shared" si="45"/>
        <v>0</v>
      </c>
      <c r="F25" s="7">
        <f t="shared" si="45"/>
        <v>0</v>
      </c>
      <c r="G25" s="7">
        <f t="shared" si="45"/>
        <v>0</v>
      </c>
      <c r="H25" s="7">
        <f t="shared" si="45"/>
        <v>0</v>
      </c>
      <c r="I25" s="7">
        <f t="shared" si="45"/>
        <v>0</v>
      </c>
      <c r="J25" s="7">
        <f t="shared" si="45"/>
        <v>0</v>
      </c>
      <c r="K25" s="7">
        <f t="shared" si="45"/>
        <v>0</v>
      </c>
      <c r="L25" s="7">
        <f t="shared" si="45"/>
        <v>0</v>
      </c>
      <c r="M25" s="7">
        <f t="shared" si="45"/>
        <v>0</v>
      </c>
      <c r="N25" s="7">
        <f t="shared" si="45"/>
        <v>0</v>
      </c>
      <c r="O25" s="7">
        <f t="shared" si="45"/>
        <v>0</v>
      </c>
      <c r="P25" s="7">
        <f t="shared" si="45"/>
        <v>0</v>
      </c>
      <c r="Q25" s="7">
        <f t="shared" si="45"/>
        <v>0</v>
      </c>
      <c r="R25" s="7">
        <f t="shared" si="45"/>
        <v>0</v>
      </c>
      <c r="S25" s="7">
        <f t="shared" si="45"/>
        <v>0</v>
      </c>
      <c r="T25" s="7">
        <f t="shared" si="46"/>
        <v>0</v>
      </c>
      <c r="U25" s="7">
        <f t="shared" si="46"/>
        <v>0</v>
      </c>
      <c r="V25" s="7">
        <f t="shared" si="46"/>
        <v>0</v>
      </c>
      <c r="W25" s="7">
        <f t="shared" si="46"/>
        <v>0</v>
      </c>
      <c r="X25" s="7">
        <f t="shared" si="46"/>
        <v>0</v>
      </c>
      <c r="Y25" s="7">
        <f t="shared" si="46"/>
        <v>0</v>
      </c>
      <c r="Z25" s="7">
        <f t="shared" si="46"/>
        <v>0</v>
      </c>
      <c r="AA25" s="7">
        <f t="shared" si="46"/>
        <v>0</v>
      </c>
      <c r="AB25" s="7">
        <f t="shared" si="46"/>
        <v>0</v>
      </c>
      <c r="AC25" s="7">
        <f t="shared" si="46"/>
        <v>0</v>
      </c>
      <c r="AD25" s="7">
        <f t="shared" si="46"/>
        <v>0</v>
      </c>
      <c r="AE25" s="7">
        <f t="shared" si="46"/>
        <v>0</v>
      </c>
      <c r="AF25" s="7">
        <f t="shared" si="46"/>
        <v>0</v>
      </c>
      <c r="AG25" s="7">
        <f t="shared" si="46"/>
        <v>0</v>
      </c>
      <c r="AH25" s="7">
        <f t="shared" si="46"/>
        <v>0</v>
      </c>
      <c r="AI25" s="7">
        <f t="shared" si="46"/>
        <v>0</v>
      </c>
      <c r="AJ25" s="7">
        <f t="shared" si="47"/>
        <v>0</v>
      </c>
      <c r="AK25" s="7">
        <f t="shared" si="47"/>
        <v>0</v>
      </c>
      <c r="AL25" s="7">
        <f t="shared" si="47"/>
        <v>0</v>
      </c>
      <c r="AM25" s="7">
        <f t="shared" si="47"/>
        <v>0</v>
      </c>
      <c r="AN25" s="7">
        <f t="shared" si="47"/>
        <v>0</v>
      </c>
      <c r="AO25" s="7">
        <f t="shared" si="47"/>
        <v>0</v>
      </c>
      <c r="AP25" s="7">
        <f t="shared" si="48"/>
        <v>0</v>
      </c>
      <c r="AQ25" s="7">
        <f t="shared" si="49"/>
        <v>0</v>
      </c>
      <c r="AR25" s="7">
        <f t="shared" si="50"/>
        <v>0</v>
      </c>
      <c r="AS25" s="7">
        <f t="shared" si="51"/>
        <v>0</v>
      </c>
      <c r="AT25" s="7">
        <f t="shared" si="52"/>
        <v>0</v>
      </c>
      <c r="AU25" s="7">
        <f t="shared" si="53"/>
        <v>0</v>
      </c>
      <c r="AV25" s="7">
        <f t="shared" si="53"/>
        <v>0</v>
      </c>
    </row>
    <row r="26" spans="1:48" x14ac:dyDescent="0.2">
      <c r="A26" s="27" t="s">
        <v>16</v>
      </c>
      <c r="B26" s="7"/>
      <c r="C26" s="36">
        <v>0</v>
      </c>
      <c r="D26" s="7">
        <f t="shared" si="45"/>
        <v>0</v>
      </c>
      <c r="E26" s="7">
        <f t="shared" si="45"/>
        <v>0</v>
      </c>
      <c r="F26" s="7">
        <f t="shared" si="45"/>
        <v>0</v>
      </c>
      <c r="G26" s="7">
        <f t="shared" si="45"/>
        <v>0</v>
      </c>
      <c r="H26" s="7">
        <f t="shared" si="45"/>
        <v>0</v>
      </c>
      <c r="I26" s="7">
        <f t="shared" si="45"/>
        <v>0</v>
      </c>
      <c r="J26" s="7">
        <f t="shared" si="45"/>
        <v>0</v>
      </c>
      <c r="K26" s="7">
        <f t="shared" si="45"/>
        <v>0</v>
      </c>
      <c r="L26" s="7">
        <f t="shared" si="45"/>
        <v>0</v>
      </c>
      <c r="M26" s="7">
        <f t="shared" si="45"/>
        <v>0</v>
      </c>
      <c r="N26" s="7">
        <f t="shared" si="45"/>
        <v>0</v>
      </c>
      <c r="O26" s="7">
        <f t="shared" si="45"/>
        <v>0</v>
      </c>
      <c r="P26" s="7">
        <f t="shared" si="45"/>
        <v>0</v>
      </c>
      <c r="Q26" s="7">
        <f t="shared" si="45"/>
        <v>0</v>
      </c>
      <c r="R26" s="7">
        <f t="shared" si="45"/>
        <v>0</v>
      </c>
      <c r="S26" s="7">
        <f t="shared" si="45"/>
        <v>0</v>
      </c>
      <c r="T26" s="7">
        <f t="shared" si="46"/>
        <v>0</v>
      </c>
      <c r="U26" s="7">
        <f t="shared" si="46"/>
        <v>0</v>
      </c>
      <c r="V26" s="7">
        <f t="shared" si="46"/>
        <v>0</v>
      </c>
      <c r="W26" s="7">
        <f t="shared" si="46"/>
        <v>0</v>
      </c>
      <c r="X26" s="7">
        <f t="shared" si="46"/>
        <v>0</v>
      </c>
      <c r="Y26" s="7">
        <f t="shared" si="46"/>
        <v>0</v>
      </c>
      <c r="Z26" s="7">
        <f t="shared" si="46"/>
        <v>0</v>
      </c>
      <c r="AA26" s="7">
        <f t="shared" si="46"/>
        <v>0</v>
      </c>
      <c r="AB26" s="7">
        <f t="shared" si="46"/>
        <v>0</v>
      </c>
      <c r="AC26" s="7">
        <f t="shared" si="46"/>
        <v>0</v>
      </c>
      <c r="AD26" s="7">
        <f t="shared" si="46"/>
        <v>0</v>
      </c>
      <c r="AE26" s="7">
        <f t="shared" si="46"/>
        <v>0</v>
      </c>
      <c r="AF26" s="7">
        <f t="shared" si="46"/>
        <v>0</v>
      </c>
      <c r="AG26" s="7">
        <f t="shared" si="46"/>
        <v>0</v>
      </c>
      <c r="AH26" s="7">
        <f t="shared" si="46"/>
        <v>0</v>
      </c>
      <c r="AI26" s="7">
        <f t="shared" si="46"/>
        <v>0</v>
      </c>
      <c r="AJ26" s="7">
        <f t="shared" si="47"/>
        <v>0</v>
      </c>
      <c r="AK26" s="7">
        <f t="shared" si="47"/>
        <v>0</v>
      </c>
      <c r="AL26" s="7">
        <f t="shared" si="47"/>
        <v>0</v>
      </c>
      <c r="AM26" s="7">
        <f t="shared" si="47"/>
        <v>0</v>
      </c>
      <c r="AN26" s="7">
        <f t="shared" si="47"/>
        <v>0</v>
      </c>
      <c r="AO26" s="7">
        <f t="shared" si="47"/>
        <v>0</v>
      </c>
      <c r="AP26" s="7">
        <f t="shared" si="48"/>
        <v>0</v>
      </c>
      <c r="AQ26" s="7">
        <f t="shared" si="49"/>
        <v>0</v>
      </c>
      <c r="AR26" s="7">
        <f t="shared" si="50"/>
        <v>0</v>
      </c>
      <c r="AS26" s="7">
        <f t="shared" si="51"/>
        <v>0</v>
      </c>
      <c r="AT26" s="7">
        <f t="shared" si="52"/>
        <v>0</v>
      </c>
      <c r="AU26" s="7">
        <f t="shared" si="53"/>
        <v>0</v>
      </c>
      <c r="AV26" s="7">
        <f t="shared" si="53"/>
        <v>0</v>
      </c>
    </row>
    <row r="27" spans="1:48" x14ac:dyDescent="0.2">
      <c r="A27" s="27" t="s">
        <v>19</v>
      </c>
      <c r="B27" s="7"/>
      <c r="C27" s="7">
        <f>(C21*C22)+(C23*C24)+(C25*C26)</f>
        <v>0.08</v>
      </c>
      <c r="D27" s="7">
        <f>(D21*D22)+(D23*D24)+(D25*D26)</f>
        <v>0.08</v>
      </c>
      <c r="E27" s="7">
        <f t="shared" ref="E27:AO27" si="54">(E21*E22)+(E23*E24)+(E25*E26)</f>
        <v>0.08</v>
      </c>
      <c r="F27" s="7">
        <f t="shared" si="54"/>
        <v>0.08</v>
      </c>
      <c r="G27" s="7">
        <f t="shared" si="54"/>
        <v>0.08</v>
      </c>
      <c r="H27" s="7">
        <f t="shared" si="54"/>
        <v>0.08</v>
      </c>
      <c r="I27" s="7">
        <f t="shared" si="54"/>
        <v>0.08</v>
      </c>
      <c r="J27" s="7">
        <f t="shared" si="54"/>
        <v>0.08</v>
      </c>
      <c r="K27" s="7">
        <f t="shared" si="54"/>
        <v>0.08</v>
      </c>
      <c r="L27" s="7">
        <f t="shared" si="54"/>
        <v>0.08</v>
      </c>
      <c r="M27" s="7">
        <f t="shared" si="54"/>
        <v>0.08</v>
      </c>
      <c r="N27" s="7">
        <f t="shared" si="54"/>
        <v>0.08</v>
      </c>
      <c r="O27" s="7">
        <f t="shared" si="54"/>
        <v>0.08</v>
      </c>
      <c r="P27" s="7">
        <f t="shared" si="54"/>
        <v>0.08</v>
      </c>
      <c r="Q27" s="7">
        <f t="shared" si="54"/>
        <v>0.08</v>
      </c>
      <c r="R27" s="7">
        <f t="shared" si="54"/>
        <v>0.08</v>
      </c>
      <c r="S27" s="7">
        <f t="shared" si="54"/>
        <v>0.08</v>
      </c>
      <c r="T27" s="7">
        <f t="shared" si="54"/>
        <v>0.08</v>
      </c>
      <c r="U27" s="7">
        <f t="shared" si="54"/>
        <v>0.08</v>
      </c>
      <c r="V27" s="7">
        <f t="shared" si="54"/>
        <v>0.08</v>
      </c>
      <c r="W27" s="7">
        <f t="shared" si="54"/>
        <v>0.08</v>
      </c>
      <c r="X27" s="7">
        <f t="shared" si="54"/>
        <v>0.08</v>
      </c>
      <c r="Y27" s="7">
        <f t="shared" si="54"/>
        <v>0.08</v>
      </c>
      <c r="Z27" s="7">
        <f t="shared" si="54"/>
        <v>0.08</v>
      </c>
      <c r="AA27" s="7">
        <f t="shared" si="54"/>
        <v>0.08</v>
      </c>
      <c r="AB27" s="7">
        <f t="shared" si="54"/>
        <v>0.08</v>
      </c>
      <c r="AC27" s="7">
        <f t="shared" si="54"/>
        <v>0.08</v>
      </c>
      <c r="AD27" s="7">
        <f t="shared" si="54"/>
        <v>0.08</v>
      </c>
      <c r="AE27" s="7">
        <f t="shared" si="54"/>
        <v>0.08</v>
      </c>
      <c r="AF27" s="7">
        <f t="shared" si="54"/>
        <v>0.08</v>
      </c>
      <c r="AG27" s="7">
        <f t="shared" si="54"/>
        <v>0.08</v>
      </c>
      <c r="AH27" s="7">
        <f t="shared" si="54"/>
        <v>0.08</v>
      </c>
      <c r="AI27" s="7">
        <f t="shared" si="54"/>
        <v>0.08</v>
      </c>
      <c r="AJ27" s="7">
        <f t="shared" si="54"/>
        <v>0.08</v>
      </c>
      <c r="AK27" s="7">
        <f t="shared" si="54"/>
        <v>0.08</v>
      </c>
      <c r="AL27" s="7">
        <f t="shared" si="54"/>
        <v>0.08</v>
      </c>
      <c r="AM27" s="7">
        <f t="shared" si="54"/>
        <v>0.08</v>
      </c>
      <c r="AN27" s="7">
        <f t="shared" si="54"/>
        <v>0.08</v>
      </c>
      <c r="AO27" s="7">
        <f t="shared" si="54"/>
        <v>0.08</v>
      </c>
      <c r="AP27" s="7">
        <f t="shared" ref="AP27:AU27" si="55">(AP21*AP22)+(AP23*AP24)+(AP25*AP26)</f>
        <v>0.08</v>
      </c>
      <c r="AQ27" s="7">
        <f t="shared" si="55"/>
        <v>0.08</v>
      </c>
      <c r="AR27" s="7">
        <f t="shared" si="55"/>
        <v>0.08</v>
      </c>
      <c r="AS27" s="7">
        <f t="shared" si="55"/>
        <v>0.08</v>
      </c>
      <c r="AT27" s="7">
        <f t="shared" si="55"/>
        <v>0.08</v>
      </c>
      <c r="AU27" s="7">
        <f t="shared" si="55"/>
        <v>0.08</v>
      </c>
      <c r="AV27" s="7">
        <f t="shared" ref="AV27" si="56">(AV21*AV22)+(AV23*AV24)+(AV25*AV26)</f>
        <v>0.08</v>
      </c>
    </row>
    <row r="28" spans="1:48" x14ac:dyDescent="0.2">
      <c r="A28" s="1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ht="12" customHeight="1" x14ac:dyDescent="0.2">
      <c r="A29" s="27" t="s">
        <v>1</v>
      </c>
      <c r="B29" s="4"/>
      <c r="C29" s="37">
        <v>2017</v>
      </c>
      <c r="D29" s="5">
        <f>C29</f>
        <v>2017</v>
      </c>
      <c r="E29" s="5">
        <f t="shared" ref="E29:AO29" si="57">D29</f>
        <v>2017</v>
      </c>
      <c r="F29" s="5">
        <f t="shared" si="57"/>
        <v>2017</v>
      </c>
      <c r="G29" s="5">
        <f t="shared" si="57"/>
        <v>2017</v>
      </c>
      <c r="H29" s="5">
        <f t="shared" si="57"/>
        <v>2017</v>
      </c>
      <c r="I29" s="5">
        <f t="shared" si="57"/>
        <v>2017</v>
      </c>
      <c r="J29" s="5">
        <f t="shared" si="57"/>
        <v>2017</v>
      </c>
      <c r="K29" s="5">
        <f t="shared" si="57"/>
        <v>2017</v>
      </c>
      <c r="L29" s="5">
        <f t="shared" si="57"/>
        <v>2017</v>
      </c>
      <c r="M29" s="5">
        <f t="shared" si="57"/>
        <v>2017</v>
      </c>
      <c r="N29" s="5">
        <f t="shared" si="57"/>
        <v>2017</v>
      </c>
      <c r="O29" s="5">
        <f t="shared" si="57"/>
        <v>2017</v>
      </c>
      <c r="P29" s="5">
        <f t="shared" si="57"/>
        <v>2017</v>
      </c>
      <c r="Q29" s="5">
        <f t="shared" si="57"/>
        <v>2017</v>
      </c>
      <c r="R29" s="5">
        <f t="shared" si="57"/>
        <v>2017</v>
      </c>
      <c r="S29" s="5">
        <f t="shared" si="57"/>
        <v>2017</v>
      </c>
      <c r="T29" s="5">
        <f t="shared" si="57"/>
        <v>2017</v>
      </c>
      <c r="U29" s="5">
        <f t="shared" si="57"/>
        <v>2017</v>
      </c>
      <c r="V29" s="5">
        <f t="shared" si="57"/>
        <v>2017</v>
      </c>
      <c r="W29" s="5">
        <f t="shared" si="57"/>
        <v>2017</v>
      </c>
      <c r="X29" s="5">
        <f t="shared" si="57"/>
        <v>2017</v>
      </c>
      <c r="Y29" s="5">
        <f t="shared" si="57"/>
        <v>2017</v>
      </c>
      <c r="Z29" s="5">
        <f t="shared" si="57"/>
        <v>2017</v>
      </c>
      <c r="AA29" s="5">
        <f t="shared" si="57"/>
        <v>2017</v>
      </c>
      <c r="AB29" s="5">
        <f t="shared" si="57"/>
        <v>2017</v>
      </c>
      <c r="AC29" s="5">
        <f t="shared" si="57"/>
        <v>2017</v>
      </c>
      <c r="AD29" s="5">
        <f t="shared" si="57"/>
        <v>2017</v>
      </c>
      <c r="AE29" s="5">
        <f t="shared" si="57"/>
        <v>2017</v>
      </c>
      <c r="AF29" s="5">
        <f t="shared" si="57"/>
        <v>2017</v>
      </c>
      <c r="AG29" s="5">
        <f t="shared" si="57"/>
        <v>2017</v>
      </c>
      <c r="AH29" s="5">
        <f t="shared" si="57"/>
        <v>2017</v>
      </c>
      <c r="AI29" s="5">
        <f t="shared" si="57"/>
        <v>2017</v>
      </c>
      <c r="AJ29" s="5">
        <f t="shared" si="57"/>
        <v>2017</v>
      </c>
      <c r="AK29" s="5">
        <f t="shared" si="57"/>
        <v>2017</v>
      </c>
      <c r="AL29" s="5">
        <f t="shared" si="57"/>
        <v>2017</v>
      </c>
      <c r="AM29" s="5">
        <f t="shared" si="57"/>
        <v>2017</v>
      </c>
      <c r="AN29" s="5">
        <f t="shared" si="57"/>
        <v>2017</v>
      </c>
      <c r="AO29" s="5">
        <f t="shared" si="57"/>
        <v>2017</v>
      </c>
      <c r="AP29" s="5">
        <f t="shared" ref="AP29" si="58">AO29</f>
        <v>2017</v>
      </c>
      <c r="AQ29" s="5">
        <f t="shared" ref="AQ29" si="59">AP29</f>
        <v>2017</v>
      </c>
      <c r="AR29" s="5">
        <f t="shared" ref="AR29" si="60">AQ29</f>
        <v>2017</v>
      </c>
      <c r="AS29" s="5">
        <f t="shared" ref="AS29" si="61">AR29</f>
        <v>2017</v>
      </c>
      <c r="AT29" s="5">
        <f t="shared" ref="AT29" si="62">AS29</f>
        <v>2017</v>
      </c>
      <c r="AU29" s="5">
        <f t="shared" ref="AU29:AV29" si="63">AT29</f>
        <v>2017</v>
      </c>
      <c r="AV29" s="5">
        <f t="shared" si="63"/>
        <v>2017</v>
      </c>
    </row>
    <row r="30" spans="1:48" ht="27.75" customHeight="1" thickBot="1" x14ac:dyDescent="0.25">
      <c r="A30" s="25" t="s">
        <v>24</v>
      </c>
      <c r="C30" s="2">
        <f t="shared" ref="C30:AV30" si="64">C$2</f>
        <v>1</v>
      </c>
      <c r="D30" s="2">
        <f t="shared" si="64"/>
        <v>2</v>
      </c>
      <c r="E30" s="2">
        <f t="shared" si="64"/>
        <v>3</v>
      </c>
      <c r="F30" s="2">
        <f t="shared" si="64"/>
        <v>4</v>
      </c>
      <c r="G30" s="2">
        <f t="shared" si="64"/>
        <v>5</v>
      </c>
      <c r="H30" s="2">
        <f t="shared" si="64"/>
        <v>6</v>
      </c>
      <c r="I30" s="2">
        <f t="shared" si="64"/>
        <v>7</v>
      </c>
      <c r="J30" s="2">
        <f t="shared" si="64"/>
        <v>8</v>
      </c>
      <c r="K30" s="2">
        <f t="shared" si="64"/>
        <v>9</v>
      </c>
      <c r="L30" s="2">
        <f t="shared" si="64"/>
        <v>10</v>
      </c>
      <c r="M30" s="2">
        <f t="shared" si="64"/>
        <v>11</v>
      </c>
      <c r="N30" s="2">
        <f t="shared" si="64"/>
        <v>12</v>
      </c>
      <c r="O30" s="2">
        <f t="shared" si="64"/>
        <v>13</v>
      </c>
      <c r="P30" s="2">
        <f t="shared" si="64"/>
        <v>14</v>
      </c>
      <c r="Q30" s="2">
        <f t="shared" si="64"/>
        <v>15</v>
      </c>
      <c r="R30" s="2">
        <f t="shared" si="64"/>
        <v>16</v>
      </c>
      <c r="S30" s="2">
        <f t="shared" si="64"/>
        <v>17</v>
      </c>
      <c r="T30" s="2">
        <f t="shared" si="64"/>
        <v>18</v>
      </c>
      <c r="U30" s="2">
        <f t="shared" si="64"/>
        <v>19</v>
      </c>
      <c r="V30" s="2">
        <f t="shared" si="64"/>
        <v>20</v>
      </c>
      <c r="W30" s="2">
        <f t="shared" si="64"/>
        <v>21</v>
      </c>
      <c r="X30" s="2">
        <f t="shared" si="64"/>
        <v>22</v>
      </c>
      <c r="Y30" s="2">
        <f t="shared" si="64"/>
        <v>23</v>
      </c>
      <c r="Z30" s="2">
        <f t="shared" si="64"/>
        <v>24</v>
      </c>
      <c r="AA30" s="2">
        <f t="shared" si="64"/>
        <v>25</v>
      </c>
      <c r="AB30" s="2">
        <f t="shared" si="64"/>
        <v>26</v>
      </c>
      <c r="AC30" s="2">
        <f t="shared" si="64"/>
        <v>27</v>
      </c>
      <c r="AD30" s="2">
        <f t="shared" si="64"/>
        <v>28</v>
      </c>
      <c r="AE30" s="2">
        <f t="shared" si="64"/>
        <v>29</v>
      </c>
      <c r="AF30" s="2">
        <f t="shared" si="64"/>
        <v>30</v>
      </c>
      <c r="AG30" s="2">
        <f t="shared" si="64"/>
        <v>31</v>
      </c>
      <c r="AH30" s="2">
        <f t="shared" si="64"/>
        <v>32</v>
      </c>
      <c r="AI30" s="2">
        <f t="shared" si="64"/>
        <v>33</v>
      </c>
      <c r="AJ30" s="2">
        <f t="shared" si="64"/>
        <v>34</v>
      </c>
      <c r="AK30" s="2">
        <f t="shared" si="64"/>
        <v>35</v>
      </c>
      <c r="AL30" s="2">
        <f t="shared" si="64"/>
        <v>36</v>
      </c>
      <c r="AM30" s="2">
        <f t="shared" si="64"/>
        <v>37</v>
      </c>
      <c r="AN30" s="2">
        <f t="shared" si="64"/>
        <v>38</v>
      </c>
      <c r="AO30" s="2">
        <f t="shared" si="64"/>
        <v>39</v>
      </c>
      <c r="AP30" s="2">
        <f t="shared" si="64"/>
        <v>40</v>
      </c>
      <c r="AQ30" s="2">
        <f t="shared" si="64"/>
        <v>41</v>
      </c>
      <c r="AR30" s="2">
        <f t="shared" si="64"/>
        <v>42</v>
      </c>
      <c r="AS30" s="2">
        <f t="shared" si="64"/>
        <v>43</v>
      </c>
      <c r="AT30" s="2">
        <f t="shared" si="64"/>
        <v>44</v>
      </c>
      <c r="AU30" s="2">
        <f t="shared" si="64"/>
        <v>45</v>
      </c>
      <c r="AV30" s="2">
        <f t="shared" si="64"/>
        <v>46</v>
      </c>
    </row>
    <row r="31" spans="1:48" x14ac:dyDescent="0.2">
      <c r="A31" s="26"/>
      <c r="B31" s="9"/>
      <c r="C31" s="18">
        <f t="shared" ref="C31:AV31" si="65">C$3</f>
        <v>2017</v>
      </c>
      <c r="D31" s="18">
        <f t="shared" si="65"/>
        <v>2018</v>
      </c>
      <c r="E31" s="18">
        <f t="shared" si="65"/>
        <v>2019</v>
      </c>
      <c r="F31" s="18">
        <f t="shared" si="65"/>
        <v>2020</v>
      </c>
      <c r="G31" s="18">
        <f t="shared" si="65"/>
        <v>2021</v>
      </c>
      <c r="H31" s="18">
        <f t="shared" si="65"/>
        <v>2022</v>
      </c>
      <c r="I31" s="18">
        <f t="shared" si="65"/>
        <v>2023</v>
      </c>
      <c r="J31" s="18">
        <f t="shared" si="65"/>
        <v>2024</v>
      </c>
      <c r="K31" s="18">
        <f t="shared" si="65"/>
        <v>2025</v>
      </c>
      <c r="L31" s="18">
        <f t="shared" si="65"/>
        <v>2026</v>
      </c>
      <c r="M31" s="18">
        <f t="shared" si="65"/>
        <v>2027</v>
      </c>
      <c r="N31" s="18">
        <f t="shared" si="65"/>
        <v>2028</v>
      </c>
      <c r="O31" s="18">
        <f t="shared" si="65"/>
        <v>2029</v>
      </c>
      <c r="P31" s="18">
        <f t="shared" si="65"/>
        <v>2030</v>
      </c>
      <c r="Q31" s="18">
        <f t="shared" si="65"/>
        <v>2031</v>
      </c>
      <c r="R31" s="18">
        <f t="shared" si="65"/>
        <v>2032</v>
      </c>
      <c r="S31" s="18">
        <f t="shared" si="65"/>
        <v>2033</v>
      </c>
      <c r="T31" s="18">
        <f t="shared" si="65"/>
        <v>2034</v>
      </c>
      <c r="U31" s="18">
        <f t="shared" si="65"/>
        <v>2035</v>
      </c>
      <c r="V31" s="18">
        <f t="shared" si="65"/>
        <v>2036</v>
      </c>
      <c r="W31" s="18">
        <f t="shared" si="65"/>
        <v>2037</v>
      </c>
      <c r="X31" s="18">
        <f t="shared" si="65"/>
        <v>2038</v>
      </c>
      <c r="Y31" s="18">
        <f t="shared" si="65"/>
        <v>2039</v>
      </c>
      <c r="Z31" s="18">
        <f t="shared" si="65"/>
        <v>2040</v>
      </c>
      <c r="AA31" s="18">
        <f t="shared" si="65"/>
        <v>2041</v>
      </c>
      <c r="AB31" s="18">
        <f t="shared" si="65"/>
        <v>2042</v>
      </c>
      <c r="AC31" s="18">
        <f t="shared" si="65"/>
        <v>2043</v>
      </c>
      <c r="AD31" s="18">
        <f t="shared" si="65"/>
        <v>2044</v>
      </c>
      <c r="AE31" s="18">
        <f t="shared" si="65"/>
        <v>2045</v>
      </c>
      <c r="AF31" s="18">
        <f t="shared" si="65"/>
        <v>2046</v>
      </c>
      <c r="AG31" s="18">
        <f t="shared" si="65"/>
        <v>2047</v>
      </c>
      <c r="AH31" s="18">
        <f t="shared" si="65"/>
        <v>2048</v>
      </c>
      <c r="AI31" s="18">
        <f t="shared" si="65"/>
        <v>2049</v>
      </c>
      <c r="AJ31" s="18">
        <f t="shared" si="65"/>
        <v>2050</v>
      </c>
      <c r="AK31" s="18">
        <f t="shared" si="65"/>
        <v>2051</v>
      </c>
      <c r="AL31" s="18">
        <f t="shared" si="65"/>
        <v>2052</v>
      </c>
      <c r="AM31" s="18">
        <f t="shared" si="65"/>
        <v>2053</v>
      </c>
      <c r="AN31" s="18">
        <f t="shared" si="65"/>
        <v>2054</v>
      </c>
      <c r="AO31" s="18">
        <f t="shared" si="65"/>
        <v>2055</v>
      </c>
      <c r="AP31" s="18">
        <f t="shared" si="65"/>
        <v>2056</v>
      </c>
      <c r="AQ31" s="18">
        <f t="shared" si="65"/>
        <v>2057</v>
      </c>
      <c r="AR31" s="18">
        <f t="shared" si="65"/>
        <v>2058</v>
      </c>
      <c r="AS31" s="18">
        <f t="shared" si="65"/>
        <v>2059</v>
      </c>
      <c r="AT31" s="18">
        <f t="shared" si="65"/>
        <v>2060</v>
      </c>
      <c r="AU31" s="18">
        <f t="shared" si="65"/>
        <v>2061</v>
      </c>
      <c r="AV31" s="18">
        <f t="shared" si="65"/>
        <v>2062</v>
      </c>
    </row>
    <row r="32" spans="1:48" x14ac:dyDescent="0.2">
      <c r="A32" s="27" t="s">
        <v>27</v>
      </c>
      <c r="B32" s="272"/>
      <c r="C32" s="21">
        <f t="shared" ref="C32:AO32" si="66">C83</f>
        <v>3.7573683333333339</v>
      </c>
      <c r="D32" s="21">
        <f t="shared" si="66"/>
        <v>15.029473333333335</v>
      </c>
      <c r="E32" s="21">
        <f t="shared" si="66"/>
        <v>15.029473333333335</v>
      </c>
      <c r="F32" s="21">
        <f t="shared" si="66"/>
        <v>15.029473333333335</v>
      </c>
      <c r="G32" s="21">
        <f t="shared" si="66"/>
        <v>15.029473333333335</v>
      </c>
      <c r="H32" s="21">
        <f t="shared" si="66"/>
        <v>15.029473333333335</v>
      </c>
      <c r="I32" s="21">
        <f t="shared" si="66"/>
        <v>15.029473333333335</v>
      </c>
      <c r="J32" s="21">
        <f t="shared" si="66"/>
        <v>15.029473333333335</v>
      </c>
      <c r="K32" s="21">
        <f t="shared" si="66"/>
        <v>15.029473333333335</v>
      </c>
      <c r="L32" s="21">
        <f t="shared" si="66"/>
        <v>15.029473333333335</v>
      </c>
      <c r="M32" s="21">
        <f t="shared" si="66"/>
        <v>15.029473333333335</v>
      </c>
      <c r="N32" s="21">
        <f t="shared" si="66"/>
        <v>15.029473333333335</v>
      </c>
      <c r="O32" s="21">
        <f t="shared" si="66"/>
        <v>15.029473333333335</v>
      </c>
      <c r="P32" s="21">
        <f t="shared" si="66"/>
        <v>15.029473333333335</v>
      </c>
      <c r="Q32" s="21">
        <f t="shared" si="66"/>
        <v>15.029473333333335</v>
      </c>
      <c r="R32" s="21">
        <f t="shared" si="66"/>
        <v>15.029473333333335</v>
      </c>
      <c r="S32" s="21">
        <f t="shared" si="66"/>
        <v>15.029473333333335</v>
      </c>
      <c r="T32" s="21">
        <f t="shared" si="66"/>
        <v>15.029473333333335</v>
      </c>
      <c r="U32" s="21">
        <f t="shared" si="66"/>
        <v>15.029473333333335</v>
      </c>
      <c r="V32" s="21">
        <f t="shared" si="66"/>
        <v>15.029473333333335</v>
      </c>
      <c r="W32" s="21">
        <f t="shared" si="66"/>
        <v>15.029473333333335</v>
      </c>
      <c r="X32" s="21">
        <f t="shared" si="66"/>
        <v>15.029473333333335</v>
      </c>
      <c r="Y32" s="21">
        <f t="shared" si="66"/>
        <v>15.029473333333335</v>
      </c>
      <c r="Z32" s="21">
        <f t="shared" si="66"/>
        <v>15.029473333333335</v>
      </c>
      <c r="AA32" s="21">
        <f t="shared" si="66"/>
        <v>15.029473333333335</v>
      </c>
      <c r="AB32" s="21">
        <f t="shared" si="66"/>
        <v>15.029473333333335</v>
      </c>
      <c r="AC32" s="21">
        <f t="shared" si="66"/>
        <v>15.029473333333335</v>
      </c>
      <c r="AD32" s="21">
        <f t="shared" si="66"/>
        <v>15.029473333333335</v>
      </c>
      <c r="AE32" s="21">
        <f t="shared" si="66"/>
        <v>15.029473333333335</v>
      </c>
      <c r="AF32" s="21">
        <f t="shared" si="66"/>
        <v>15.029473333333335</v>
      </c>
      <c r="AG32" s="21">
        <f t="shared" si="66"/>
        <v>15.029473333333335</v>
      </c>
      <c r="AH32" s="21">
        <f t="shared" si="66"/>
        <v>15.029473333333335</v>
      </c>
      <c r="AI32" s="21">
        <f t="shared" si="66"/>
        <v>15.029473333333335</v>
      </c>
      <c r="AJ32" s="21">
        <f t="shared" si="66"/>
        <v>15.029473333333335</v>
      </c>
      <c r="AK32" s="21">
        <f t="shared" si="66"/>
        <v>15.029473333333335</v>
      </c>
      <c r="AL32" s="21">
        <f t="shared" si="66"/>
        <v>15.029473333333335</v>
      </c>
      <c r="AM32" s="21">
        <f t="shared" si="66"/>
        <v>15.029473333333335</v>
      </c>
      <c r="AN32" s="21">
        <f t="shared" si="66"/>
        <v>15.029473333333335</v>
      </c>
      <c r="AO32" s="21">
        <f t="shared" si="66"/>
        <v>15.029473333333335</v>
      </c>
      <c r="AP32" s="21">
        <f t="shared" ref="AP32:AU32" si="67">AP83</f>
        <v>15.029473333333335</v>
      </c>
      <c r="AQ32" s="21">
        <f t="shared" si="67"/>
        <v>15.029473333333335</v>
      </c>
      <c r="AR32" s="21">
        <f t="shared" si="67"/>
        <v>15.029473333333335</v>
      </c>
      <c r="AS32" s="21">
        <f t="shared" si="67"/>
        <v>15.029473333333335</v>
      </c>
      <c r="AT32" s="21">
        <f t="shared" si="67"/>
        <v>15.029473333333335</v>
      </c>
      <c r="AU32" s="21">
        <f t="shared" si="67"/>
        <v>15.029473333333335</v>
      </c>
      <c r="AV32" s="21">
        <f t="shared" ref="AV32" si="68">AV83</f>
        <v>11.272105000000002</v>
      </c>
    </row>
    <row r="33" spans="1:49" x14ac:dyDescent="0.2">
      <c r="A33" s="27" t="s">
        <v>8</v>
      </c>
      <c r="B33" s="271"/>
      <c r="C33" s="10">
        <f>C52*C15*C17*C8</f>
        <v>5.0583571187500009</v>
      </c>
      <c r="D33" s="10">
        <f t="shared" ref="D33:AU33" si="69">D52*D15*D17*D8</f>
        <v>19.951625849999999</v>
      </c>
      <c r="E33" s="10">
        <f t="shared" si="69"/>
        <v>19.500741650000002</v>
      </c>
      <c r="F33" s="10">
        <f t="shared" si="69"/>
        <v>19.049857449999994</v>
      </c>
      <c r="G33" s="10">
        <f t="shared" si="69"/>
        <v>18.598973249999997</v>
      </c>
      <c r="H33" s="10">
        <f t="shared" si="69"/>
        <v>18.148089049999992</v>
      </c>
      <c r="I33" s="10">
        <f t="shared" si="69"/>
        <v>17.697204849999995</v>
      </c>
      <c r="J33" s="10">
        <f t="shared" si="69"/>
        <v>17.246320649999987</v>
      </c>
      <c r="K33" s="10">
        <f t="shared" si="69"/>
        <v>16.795436449999993</v>
      </c>
      <c r="L33" s="10">
        <f t="shared" si="69"/>
        <v>16.344552249999985</v>
      </c>
      <c r="M33" s="10">
        <f t="shared" si="69"/>
        <v>15.893668049999988</v>
      </c>
      <c r="N33" s="10">
        <f t="shared" si="69"/>
        <v>15.442783849999987</v>
      </c>
      <c r="O33" s="10">
        <f t="shared" si="69"/>
        <v>14.991899649999986</v>
      </c>
      <c r="P33" s="10">
        <f t="shared" si="69"/>
        <v>14.541015449999987</v>
      </c>
      <c r="Q33" s="10">
        <f t="shared" si="69"/>
        <v>14.090131249999985</v>
      </c>
      <c r="R33" s="10">
        <f t="shared" si="69"/>
        <v>13.639247049999987</v>
      </c>
      <c r="S33" s="10">
        <f t="shared" si="69"/>
        <v>13.188362849999985</v>
      </c>
      <c r="T33" s="10">
        <f t="shared" si="69"/>
        <v>12.737478649999986</v>
      </c>
      <c r="U33" s="10">
        <f t="shared" si="69"/>
        <v>12.286594449999985</v>
      </c>
      <c r="V33" s="10">
        <f t="shared" si="69"/>
        <v>11.835710249999988</v>
      </c>
      <c r="W33" s="10">
        <f t="shared" si="69"/>
        <v>11.384826049999987</v>
      </c>
      <c r="X33" s="10">
        <f t="shared" si="69"/>
        <v>10.933941849999988</v>
      </c>
      <c r="Y33" s="10">
        <f t="shared" si="69"/>
        <v>10.483057649999985</v>
      </c>
      <c r="Z33" s="10">
        <f t="shared" si="69"/>
        <v>10.032173449999988</v>
      </c>
      <c r="AA33" s="10">
        <f t="shared" si="69"/>
        <v>9.5812892499999869</v>
      </c>
      <c r="AB33" s="10">
        <f t="shared" si="69"/>
        <v>9.1304050499999878</v>
      </c>
      <c r="AC33" s="10">
        <f t="shared" si="69"/>
        <v>8.679520849999987</v>
      </c>
      <c r="AD33" s="10">
        <f t="shared" si="69"/>
        <v>8.2286366499999897</v>
      </c>
      <c r="AE33" s="10">
        <f t="shared" si="69"/>
        <v>7.777752449999987</v>
      </c>
      <c r="AF33" s="10">
        <f t="shared" si="69"/>
        <v>7.3268682499999871</v>
      </c>
      <c r="AG33" s="10">
        <f t="shared" si="69"/>
        <v>6.8759840499999889</v>
      </c>
      <c r="AH33" s="10">
        <f t="shared" si="69"/>
        <v>6.4250998499999881</v>
      </c>
      <c r="AI33" s="10">
        <f t="shared" si="69"/>
        <v>5.9742156499999881</v>
      </c>
      <c r="AJ33" s="10">
        <f t="shared" si="69"/>
        <v>5.523331449999989</v>
      </c>
      <c r="AK33" s="10">
        <f t="shared" si="69"/>
        <v>5.0724472499999891</v>
      </c>
      <c r="AL33" s="10">
        <f t="shared" si="69"/>
        <v>4.6215630499999882</v>
      </c>
      <c r="AM33" s="10">
        <f t="shared" si="69"/>
        <v>4.1706788499999892</v>
      </c>
      <c r="AN33" s="10">
        <f t="shared" si="69"/>
        <v>3.7197946499999888</v>
      </c>
      <c r="AO33" s="10">
        <f t="shared" si="69"/>
        <v>3.2689104499999893</v>
      </c>
      <c r="AP33" s="10">
        <f t="shared" si="69"/>
        <v>2.8180262499999893</v>
      </c>
      <c r="AQ33" s="10">
        <f t="shared" si="69"/>
        <v>2.3671420499999893</v>
      </c>
      <c r="AR33" s="10">
        <f t="shared" si="69"/>
        <v>1.9162578499999896</v>
      </c>
      <c r="AS33" s="10">
        <f t="shared" si="69"/>
        <v>1.4653736499999894</v>
      </c>
      <c r="AT33" s="10">
        <f t="shared" si="69"/>
        <v>1.0144894499999895</v>
      </c>
      <c r="AU33" s="10">
        <f t="shared" si="69"/>
        <v>0.61996577499998928</v>
      </c>
      <c r="AV33" s="10">
        <f t="shared" ref="AV33" si="70">AV52*AV15*AV17*AV8</f>
        <v>0.33816314999999192</v>
      </c>
    </row>
    <row r="34" spans="1:49" x14ac:dyDescent="0.2">
      <c r="A34" s="27" t="s">
        <v>6</v>
      </c>
      <c r="B34" s="16"/>
      <c r="C34" s="10">
        <f>C52*C14*C16*C8</f>
        <v>6.7444761583333346</v>
      </c>
      <c r="D34" s="10">
        <f t="shared" ref="D34:AU34" si="71">D52*D14*D16*D8</f>
        <v>26.602167800000004</v>
      </c>
      <c r="E34" s="10">
        <f t="shared" si="71"/>
        <v>26.000988866666667</v>
      </c>
      <c r="F34" s="10">
        <f t="shared" si="71"/>
        <v>25.39980993333333</v>
      </c>
      <c r="G34" s="10">
        <f t="shared" si="71"/>
        <v>24.798631</v>
      </c>
      <c r="H34" s="10">
        <f t="shared" si="71"/>
        <v>24.197452066666656</v>
      </c>
      <c r="I34" s="10">
        <f t="shared" si="71"/>
        <v>23.596273133333327</v>
      </c>
      <c r="J34" s="10">
        <f t="shared" si="71"/>
        <v>22.995094199999986</v>
      </c>
      <c r="K34" s="10">
        <f t="shared" si="71"/>
        <v>22.393915266666657</v>
      </c>
      <c r="L34" s="10">
        <f t="shared" si="71"/>
        <v>21.792736333333316</v>
      </c>
      <c r="M34" s="10">
        <f t="shared" si="71"/>
        <v>21.191557399999986</v>
      </c>
      <c r="N34" s="10">
        <f t="shared" si="71"/>
        <v>20.59037846666665</v>
      </c>
      <c r="O34" s="10">
        <f t="shared" si="71"/>
        <v>19.989199533333316</v>
      </c>
      <c r="P34" s="10">
        <f t="shared" si="71"/>
        <v>19.388020599999983</v>
      </c>
      <c r="Q34" s="10">
        <f t="shared" si="71"/>
        <v>18.786841666666646</v>
      </c>
      <c r="R34" s="10">
        <f t="shared" si="71"/>
        <v>18.185662733333317</v>
      </c>
      <c r="S34" s="10">
        <f t="shared" si="71"/>
        <v>17.584483799999983</v>
      </c>
      <c r="T34" s="10">
        <f t="shared" si="71"/>
        <v>16.983304866666654</v>
      </c>
      <c r="U34" s="10">
        <f t="shared" si="71"/>
        <v>16.382125933333317</v>
      </c>
      <c r="V34" s="10">
        <f t="shared" si="71"/>
        <v>15.780946999999983</v>
      </c>
      <c r="W34" s="10">
        <f t="shared" si="71"/>
        <v>15.179768066666648</v>
      </c>
      <c r="X34" s="10">
        <f t="shared" si="71"/>
        <v>14.578589133333319</v>
      </c>
      <c r="Y34" s="10">
        <f t="shared" si="71"/>
        <v>13.977410199999984</v>
      </c>
      <c r="Z34" s="10">
        <f t="shared" si="71"/>
        <v>13.37623126666665</v>
      </c>
      <c r="AA34" s="10">
        <f t="shared" si="71"/>
        <v>12.775052333333315</v>
      </c>
      <c r="AB34" s="10">
        <f t="shared" si="71"/>
        <v>12.173873399999986</v>
      </c>
      <c r="AC34" s="10">
        <f t="shared" si="71"/>
        <v>11.57269446666665</v>
      </c>
      <c r="AD34" s="10">
        <f t="shared" si="71"/>
        <v>10.971515533333319</v>
      </c>
      <c r="AE34" s="10">
        <f t="shared" si="71"/>
        <v>10.370336599999984</v>
      </c>
      <c r="AF34" s="10">
        <f t="shared" si="71"/>
        <v>9.7691576666666506</v>
      </c>
      <c r="AG34" s="10">
        <f t="shared" si="71"/>
        <v>9.1679787333333191</v>
      </c>
      <c r="AH34" s="10">
        <f t="shared" si="71"/>
        <v>8.5667997999999841</v>
      </c>
      <c r="AI34" s="10">
        <f t="shared" si="71"/>
        <v>7.9656208666666517</v>
      </c>
      <c r="AJ34" s="10">
        <f t="shared" si="71"/>
        <v>7.3644419333333175</v>
      </c>
      <c r="AK34" s="10">
        <f t="shared" si="71"/>
        <v>6.7632629999999851</v>
      </c>
      <c r="AL34" s="10">
        <f t="shared" si="71"/>
        <v>6.1620840666666519</v>
      </c>
      <c r="AM34" s="10">
        <f t="shared" si="71"/>
        <v>5.5609051333333186</v>
      </c>
      <c r="AN34" s="10">
        <f t="shared" si="71"/>
        <v>4.9597261999999862</v>
      </c>
      <c r="AO34" s="10">
        <f t="shared" si="71"/>
        <v>4.3585472666666529</v>
      </c>
      <c r="AP34" s="10">
        <f t="shared" si="71"/>
        <v>3.7573683333333197</v>
      </c>
      <c r="AQ34" s="10">
        <f t="shared" si="71"/>
        <v>3.1561893999999864</v>
      </c>
      <c r="AR34" s="10">
        <f t="shared" si="71"/>
        <v>2.5550104666666531</v>
      </c>
      <c r="AS34" s="10">
        <f t="shared" si="71"/>
        <v>1.9538315333333192</v>
      </c>
      <c r="AT34" s="10">
        <f t="shared" si="71"/>
        <v>1.3526525999999861</v>
      </c>
      <c r="AU34" s="10">
        <f t="shared" si="71"/>
        <v>0.82662103333331904</v>
      </c>
      <c r="AV34" s="10">
        <f t="shared" ref="AV34" si="72">AV52*AV14*AV16*AV8</f>
        <v>0.4508841999999893</v>
      </c>
    </row>
    <row r="35" spans="1:49" x14ac:dyDescent="0.2">
      <c r="A35" s="27" t="s">
        <v>25</v>
      </c>
      <c r="C35" s="14">
        <f t="shared" ref="C35:AU35" ca="1" si="73">C63</f>
        <v>-7.4360497501207732</v>
      </c>
      <c r="D35" s="14">
        <f t="shared" ca="1" si="73"/>
        <v>-4.6321272450241535</v>
      </c>
      <c r="E35" s="14">
        <f t="shared" ca="1" si="73"/>
        <v>-3.0353262961855054</v>
      </c>
      <c r="F35" s="14">
        <f t="shared" ca="1" si="73"/>
        <v>-1.5878770139012932</v>
      </c>
      <c r="G35" s="14">
        <f t="shared" ca="1" si="73"/>
        <v>-0.27783126484716647</v>
      </c>
      <c r="H35" s="14">
        <f t="shared" ca="1" si="73"/>
        <v>0.90580323363529336</v>
      </c>
      <c r="I35" s="14">
        <f t="shared" ca="1" si="73"/>
        <v>1.973139381591813</v>
      </c>
      <c r="J35" s="14">
        <f t="shared" ca="1" si="73"/>
        <v>2.9334810470644661</v>
      </c>
      <c r="K35" s="14">
        <f t="shared" ca="1" si="73"/>
        <v>3.7953877886519658</v>
      </c>
      <c r="L35" s="14">
        <f t="shared" ca="1" si="73"/>
        <v>4.5667344002651191</v>
      </c>
      <c r="M35" s="14">
        <f t="shared" ca="1" si="73"/>
        <v>5.2547656923018797</v>
      </c>
      <c r="N35" s="14">
        <f t="shared" ca="1" si="73"/>
        <v>5.8661468903283565</v>
      </c>
      <c r="O35" s="14">
        <f t="shared" ca="1" si="73"/>
        <v>6.4070100018653706</v>
      </c>
      <c r="P35" s="14">
        <f t="shared" ca="1" si="73"/>
        <v>6.882996473832085</v>
      </c>
      <c r="Q35" s="14">
        <f t="shared" ca="1" si="73"/>
        <v>7.299296437394112</v>
      </c>
      <c r="R35" s="14">
        <f t="shared" ca="1" si="73"/>
        <v>7.6606848132238401</v>
      </c>
      <c r="S35" s="14">
        <f t="shared" ca="1" si="73"/>
        <v>7.971554528339845</v>
      </c>
      <c r="T35" s="14">
        <f t="shared" ca="1" si="73"/>
        <v>8.2359470755992277</v>
      </c>
      <c r="U35" s="14">
        <f t="shared" ca="1" si="73"/>
        <v>8.4575806284305166</v>
      </c>
      <c r="V35" s="14">
        <f t="shared" ca="1" si="73"/>
        <v>8.6398759063879567</v>
      </c>
      <c r="W35" s="14">
        <f t="shared" ca="1" si="73"/>
        <v>8.7859799714614581</v>
      </c>
      <c r="X35" s="14">
        <f t="shared" ca="1" si="73"/>
        <v>8.8987881206817434</v>
      </c>
      <c r="Y35" s="14">
        <f t="shared" ca="1" si="73"/>
        <v>8.9809640273170572</v>
      </c>
      <c r="Z35" s="14">
        <f t="shared" ca="1" si="73"/>
        <v>9.0349582707742044</v>
      </c>
      <c r="AA35" s="14">
        <f t="shared" ca="1" si="73"/>
        <v>9.0630253841074389</v>
      </c>
      <c r="AB35" s="14">
        <f t="shared" ca="1" si="73"/>
        <v>9.0672395377266675</v>
      </c>
      <c r="AC35" s="14">
        <f t="shared" ca="1" si="73"/>
        <v>9.04950896840902</v>
      </c>
      <c r="AD35" s="14">
        <f t="shared" ca="1" si="73"/>
        <v>9.0115892539894347</v>
      </c>
      <c r="AE35" s="14">
        <f t="shared" ca="1" si="73"/>
        <v>8.955095526076077</v>
      </c>
      <c r="AF35" s="14">
        <f t="shared" ca="1" si="73"/>
        <v>8.8815137057484463</v>
      </c>
      <c r="AG35" s="14">
        <f t="shared" ca="1" si="73"/>
        <v>8.7922108403996813</v>
      </c>
      <c r="AH35" s="14">
        <f t="shared" ca="1" si="73"/>
        <v>8.6884446136314732</v>
      </c>
      <c r="AI35" s="14">
        <f t="shared" ca="1" si="73"/>
        <v>8.571372094357379</v>
      </c>
      <c r="AJ35" s="14">
        <f t="shared" ca="1" si="73"/>
        <v>8.4420577859778732</v>
      </c>
      <c r="AK35" s="14">
        <f t="shared" ca="1" si="73"/>
        <v>8.3014810316213801</v>
      </c>
      <c r="AL35" s="14">
        <f t="shared" ca="1" si="73"/>
        <v>8.1505428269660669</v>
      </c>
      <c r="AM35" s="14">
        <f t="shared" ca="1" si="73"/>
        <v>7.9900720880358325</v>
      </c>
      <c r="AN35" s="14">
        <f t="shared" ca="1" si="73"/>
        <v>7.820831417572677</v>
      </c>
      <c r="AO35" s="14">
        <f t="shared" ca="1" si="73"/>
        <v>7.6435224100992292</v>
      </c>
      <c r="AP35" s="14">
        <f t="shared" ca="1" si="73"/>
        <v>7.4587905325763133</v>
      </c>
      <c r="AQ35" s="14">
        <f t="shared" ca="1" si="73"/>
        <v>7.2672296146078912</v>
      </c>
      <c r="AR35" s="14">
        <f t="shared" ca="1" si="73"/>
        <v>7.0693859794295975</v>
      </c>
      <c r="AS35" s="14">
        <f t="shared" ca="1" si="73"/>
        <v>6.8657622444182236</v>
      </c>
      <c r="AT35" s="14">
        <f t="shared" ca="1" si="73"/>
        <v>6.6568208175604173</v>
      </c>
      <c r="AU35" s="14">
        <f t="shared" ca="1" si="73"/>
        <v>6.4767489745903655</v>
      </c>
      <c r="AV35" s="14">
        <f t="shared" ref="AV35" ca="1" si="74">AV63</f>
        <v>4.671606938690771</v>
      </c>
    </row>
    <row r="36" spans="1:49" s="3" customFormat="1" x14ac:dyDescent="0.2">
      <c r="A36" s="30" t="s">
        <v>28</v>
      </c>
      <c r="C36" s="15">
        <f t="shared" ref="C36:AU36" ca="1" si="75">SUM(C32:C35)</f>
        <v>8.1241518602958962</v>
      </c>
      <c r="D36" s="15">
        <f t="shared" ca="1" si="75"/>
        <v>56.951139738309188</v>
      </c>
      <c r="E36" s="15">
        <f t="shared" ca="1" si="75"/>
        <v>57.495877553814502</v>
      </c>
      <c r="F36" s="15">
        <f t="shared" ca="1" si="75"/>
        <v>57.891263702765372</v>
      </c>
      <c r="G36" s="15">
        <f t="shared" ca="1" si="75"/>
        <v>58.149246318486163</v>
      </c>
      <c r="H36" s="15">
        <f t="shared" ca="1" si="75"/>
        <v>58.280817683635277</v>
      </c>
      <c r="I36" s="15">
        <f t="shared" ca="1" si="75"/>
        <v>58.296090698258475</v>
      </c>
      <c r="J36" s="15">
        <f t="shared" ca="1" si="75"/>
        <v>58.204369230397781</v>
      </c>
      <c r="K36" s="15">
        <f t="shared" ca="1" si="75"/>
        <v>58.01421283865195</v>
      </c>
      <c r="L36" s="15">
        <f t="shared" ca="1" si="75"/>
        <v>57.733496316931756</v>
      </c>
      <c r="M36" s="15">
        <f t="shared" ca="1" si="75"/>
        <v>57.369464475635191</v>
      </c>
      <c r="N36" s="15">
        <f t="shared" ca="1" si="75"/>
        <v>56.928782540328335</v>
      </c>
      <c r="O36" s="15">
        <f t="shared" ca="1" si="75"/>
        <v>56.417582518532015</v>
      </c>
      <c r="P36" s="15">
        <f t="shared" ca="1" si="75"/>
        <v>55.841505857165394</v>
      </c>
      <c r="Q36" s="15">
        <f t="shared" ca="1" si="75"/>
        <v>55.205742687394078</v>
      </c>
      <c r="R36" s="15">
        <f t="shared" ca="1" si="75"/>
        <v>54.515067929890478</v>
      </c>
      <c r="S36" s="15">
        <f t="shared" ca="1" si="75"/>
        <v>53.773874511673149</v>
      </c>
      <c r="T36" s="15">
        <f t="shared" ca="1" si="75"/>
        <v>52.986203925599199</v>
      </c>
      <c r="U36" s="15">
        <f t="shared" ca="1" si="75"/>
        <v>52.155774345097157</v>
      </c>
      <c r="V36" s="15">
        <f t="shared" ca="1" si="75"/>
        <v>51.28600648972126</v>
      </c>
      <c r="W36" s="15">
        <f t="shared" ca="1" si="75"/>
        <v>50.380047421461427</v>
      </c>
      <c r="X36" s="15">
        <f t="shared" ca="1" si="75"/>
        <v>49.440792437348385</v>
      </c>
      <c r="Y36" s="15">
        <f t="shared" ca="1" si="75"/>
        <v>48.470905210650358</v>
      </c>
      <c r="Z36" s="15">
        <f t="shared" ca="1" si="75"/>
        <v>47.472836320774178</v>
      </c>
      <c r="AA36" s="15">
        <f t="shared" ca="1" si="75"/>
        <v>46.44884030077408</v>
      </c>
      <c r="AB36" s="15">
        <f t="shared" ca="1" si="75"/>
        <v>45.400991321059976</v>
      </c>
      <c r="AC36" s="15">
        <f t="shared" ca="1" si="75"/>
        <v>44.331197618409</v>
      </c>
      <c r="AD36" s="15">
        <f t="shared" ca="1" si="75"/>
        <v>43.241214770656079</v>
      </c>
      <c r="AE36" s="15">
        <f t="shared" ca="1" si="75"/>
        <v>42.132657909409389</v>
      </c>
      <c r="AF36" s="15">
        <f t="shared" ca="1" si="75"/>
        <v>41.007012955748422</v>
      </c>
      <c r="AG36" s="15">
        <f t="shared" ca="1" si="75"/>
        <v>39.865646957066325</v>
      </c>
      <c r="AH36" s="15">
        <f t="shared" ca="1" si="75"/>
        <v>38.709817596964783</v>
      </c>
      <c r="AI36" s="15">
        <f t="shared" ca="1" si="75"/>
        <v>37.540681944357353</v>
      </c>
      <c r="AJ36" s="15">
        <f t="shared" ca="1" si="75"/>
        <v>36.35930450264452</v>
      </c>
      <c r="AK36" s="15">
        <f t="shared" ca="1" si="75"/>
        <v>35.166664614954691</v>
      </c>
      <c r="AL36" s="15">
        <f t="shared" ca="1" si="75"/>
        <v>33.963663276966045</v>
      </c>
      <c r="AM36" s="15">
        <f t="shared" ca="1" si="75"/>
        <v>32.751129404702475</v>
      </c>
      <c r="AN36" s="15">
        <f t="shared" ca="1" si="75"/>
        <v>31.529825600905987</v>
      </c>
      <c r="AO36" s="15">
        <f t="shared" ca="1" si="75"/>
        <v>30.300453460099206</v>
      </c>
      <c r="AP36" s="15">
        <f t="shared" ca="1" si="75"/>
        <v>29.063658449242954</v>
      </c>
      <c r="AQ36" s="15">
        <f t="shared" ca="1" si="75"/>
        <v>27.820034397941207</v>
      </c>
      <c r="AR36" s="15">
        <f t="shared" ca="1" si="75"/>
        <v>26.570127629429578</v>
      </c>
      <c r="AS36" s="15">
        <f t="shared" ca="1" si="75"/>
        <v>25.314440761084867</v>
      </c>
      <c r="AT36" s="15">
        <f t="shared" ca="1" si="75"/>
        <v>24.053436200893728</v>
      </c>
      <c r="AU36" s="15">
        <f t="shared" ca="1" si="75"/>
        <v>22.952809116257008</v>
      </c>
      <c r="AV36" s="15">
        <f t="shared" ref="AV36" ca="1" si="76">SUM(AV32:AV35)</f>
        <v>16.732759288690755</v>
      </c>
      <c r="AW36"/>
    </row>
    <row r="37" spans="1:49" x14ac:dyDescent="0.2">
      <c r="A37" s="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1:49" ht="27.75" customHeight="1" thickBot="1" x14ac:dyDescent="0.25">
      <c r="A38" s="25" t="s">
        <v>147</v>
      </c>
      <c r="C38" s="2">
        <f t="shared" ref="C38:AV38" si="77">C$2</f>
        <v>1</v>
      </c>
      <c r="D38" s="2">
        <f t="shared" si="77"/>
        <v>2</v>
      </c>
      <c r="E38" s="2">
        <f t="shared" si="77"/>
        <v>3</v>
      </c>
      <c r="F38" s="2">
        <f t="shared" si="77"/>
        <v>4</v>
      </c>
      <c r="G38" s="2">
        <f t="shared" si="77"/>
        <v>5</v>
      </c>
      <c r="H38" s="2">
        <f t="shared" si="77"/>
        <v>6</v>
      </c>
      <c r="I38" s="2">
        <f t="shared" si="77"/>
        <v>7</v>
      </c>
      <c r="J38" s="2">
        <f t="shared" si="77"/>
        <v>8</v>
      </c>
      <c r="K38" s="2">
        <f t="shared" si="77"/>
        <v>9</v>
      </c>
      <c r="L38" s="2">
        <f t="shared" si="77"/>
        <v>10</v>
      </c>
      <c r="M38" s="2">
        <f t="shared" si="77"/>
        <v>11</v>
      </c>
      <c r="N38" s="2">
        <f t="shared" si="77"/>
        <v>12</v>
      </c>
      <c r="O38" s="2">
        <f t="shared" si="77"/>
        <v>13</v>
      </c>
      <c r="P38" s="2">
        <f t="shared" si="77"/>
        <v>14</v>
      </c>
      <c r="Q38" s="2">
        <f t="shared" si="77"/>
        <v>15</v>
      </c>
      <c r="R38" s="2">
        <f t="shared" si="77"/>
        <v>16</v>
      </c>
      <c r="S38" s="2">
        <f t="shared" si="77"/>
        <v>17</v>
      </c>
      <c r="T38" s="2">
        <f t="shared" si="77"/>
        <v>18</v>
      </c>
      <c r="U38" s="2">
        <f t="shared" si="77"/>
        <v>19</v>
      </c>
      <c r="V38" s="2">
        <f t="shared" si="77"/>
        <v>20</v>
      </c>
      <c r="W38" s="2">
        <f t="shared" si="77"/>
        <v>21</v>
      </c>
      <c r="X38" s="2">
        <f t="shared" si="77"/>
        <v>22</v>
      </c>
      <c r="Y38" s="2">
        <f t="shared" si="77"/>
        <v>23</v>
      </c>
      <c r="Z38" s="2">
        <f t="shared" si="77"/>
        <v>24</v>
      </c>
      <c r="AA38" s="2">
        <f t="shared" si="77"/>
        <v>25</v>
      </c>
      <c r="AB38" s="2">
        <f t="shared" si="77"/>
        <v>26</v>
      </c>
      <c r="AC38" s="2">
        <f t="shared" si="77"/>
        <v>27</v>
      </c>
      <c r="AD38" s="2">
        <f t="shared" si="77"/>
        <v>28</v>
      </c>
      <c r="AE38" s="2">
        <f t="shared" si="77"/>
        <v>29</v>
      </c>
      <c r="AF38" s="2">
        <f t="shared" si="77"/>
        <v>30</v>
      </c>
      <c r="AG38" s="2">
        <f t="shared" si="77"/>
        <v>31</v>
      </c>
      <c r="AH38" s="2">
        <f t="shared" si="77"/>
        <v>32</v>
      </c>
      <c r="AI38" s="2">
        <f t="shared" si="77"/>
        <v>33</v>
      </c>
      <c r="AJ38" s="2">
        <f t="shared" si="77"/>
        <v>34</v>
      </c>
      <c r="AK38" s="2">
        <f t="shared" si="77"/>
        <v>35</v>
      </c>
      <c r="AL38" s="2">
        <f t="shared" si="77"/>
        <v>36</v>
      </c>
      <c r="AM38" s="2">
        <f t="shared" si="77"/>
        <v>37</v>
      </c>
      <c r="AN38" s="2">
        <f t="shared" si="77"/>
        <v>38</v>
      </c>
      <c r="AO38" s="2">
        <f t="shared" si="77"/>
        <v>39</v>
      </c>
      <c r="AP38" s="2">
        <f t="shared" si="77"/>
        <v>40</v>
      </c>
      <c r="AQ38" s="2">
        <f t="shared" si="77"/>
        <v>41</v>
      </c>
      <c r="AR38" s="2">
        <f t="shared" si="77"/>
        <v>42</v>
      </c>
      <c r="AS38" s="2">
        <f t="shared" si="77"/>
        <v>43</v>
      </c>
      <c r="AT38" s="2">
        <f t="shared" si="77"/>
        <v>44</v>
      </c>
      <c r="AU38" s="2">
        <f t="shared" si="77"/>
        <v>45</v>
      </c>
      <c r="AV38" s="2">
        <f t="shared" si="77"/>
        <v>46</v>
      </c>
    </row>
    <row r="39" spans="1:49" x14ac:dyDescent="0.2">
      <c r="A39" s="27" t="str">
        <f>A32</f>
        <v>Depreciation</v>
      </c>
      <c r="B39" s="99">
        <v>6.5600000000000006E-2</v>
      </c>
      <c r="C39" s="100">
        <f>NPV(B39,C32:AU32)</f>
        <v>205.39857030059986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9" x14ac:dyDescent="0.2">
      <c r="A40" s="27" t="str">
        <f>A33</f>
        <v>Interest Cost</v>
      </c>
      <c r="B40" s="11">
        <f>B39</f>
        <v>6.5600000000000006E-2</v>
      </c>
      <c r="C40" s="100">
        <f>NPV(B40,C33:AU33)</f>
        <v>197.74922318357341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49" x14ac:dyDescent="0.2">
      <c r="A41" s="27" t="str">
        <f>A34</f>
        <v>ROE</v>
      </c>
      <c r="B41" s="11">
        <f t="shared" ref="B41:B43" si="78">B40</f>
        <v>6.5600000000000006E-2</v>
      </c>
      <c r="C41" s="100">
        <f>NPV(B41,C34:AU34)</f>
        <v>263.66563091143121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1:49" x14ac:dyDescent="0.2">
      <c r="A42" s="27" t="str">
        <f t="shared" ref="A42:A43" si="79">A35</f>
        <v>Taxes</v>
      </c>
      <c r="B42" s="11">
        <f>B41</f>
        <v>6.5600000000000006E-2</v>
      </c>
      <c r="C42" s="101">
        <f ca="1">NPV(B42,C35:AU35)</f>
        <v>49.158028100079456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1:49" x14ac:dyDescent="0.2">
      <c r="A43" s="30" t="str">
        <f t="shared" si="79"/>
        <v>Total Revenue Requirement</v>
      </c>
      <c r="B43" s="103">
        <f t="shared" si="78"/>
        <v>6.5600000000000006E-2</v>
      </c>
      <c r="C43" s="102">
        <f ca="1">NPV(B43,C36:AU36)</f>
        <v>715.97145249568405</v>
      </c>
      <c r="D43" s="43">
        <f ca="1">C43/150</f>
        <v>4.7731430166378939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9" x14ac:dyDescent="0.2">
      <c r="A44" s="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9" x14ac:dyDescent="0.2">
      <c r="A45" s="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9" x14ac:dyDescent="0.2">
      <c r="A46" s="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9" s="5" customFormat="1" ht="27.75" customHeight="1" thickBot="1" x14ac:dyDescent="0.25">
      <c r="A47" s="25" t="s">
        <v>20</v>
      </c>
      <c r="C47" s="2">
        <f t="shared" ref="C47:AV47" si="80">C$2</f>
        <v>1</v>
      </c>
      <c r="D47" s="2">
        <f t="shared" si="80"/>
        <v>2</v>
      </c>
      <c r="E47" s="2">
        <f t="shared" si="80"/>
        <v>3</v>
      </c>
      <c r="F47" s="2">
        <f t="shared" si="80"/>
        <v>4</v>
      </c>
      <c r="G47" s="2">
        <f t="shared" si="80"/>
        <v>5</v>
      </c>
      <c r="H47" s="2">
        <f t="shared" si="80"/>
        <v>6</v>
      </c>
      <c r="I47" s="2">
        <f t="shared" si="80"/>
        <v>7</v>
      </c>
      <c r="J47" s="2">
        <f t="shared" si="80"/>
        <v>8</v>
      </c>
      <c r="K47" s="2">
        <f t="shared" si="80"/>
        <v>9</v>
      </c>
      <c r="L47" s="2">
        <f t="shared" si="80"/>
        <v>10</v>
      </c>
      <c r="M47" s="2">
        <f t="shared" si="80"/>
        <v>11</v>
      </c>
      <c r="N47" s="2">
        <f t="shared" si="80"/>
        <v>12</v>
      </c>
      <c r="O47" s="2">
        <f t="shared" si="80"/>
        <v>13</v>
      </c>
      <c r="P47" s="2">
        <f t="shared" si="80"/>
        <v>14</v>
      </c>
      <c r="Q47" s="2">
        <f t="shared" si="80"/>
        <v>15</v>
      </c>
      <c r="R47" s="2">
        <f t="shared" si="80"/>
        <v>16</v>
      </c>
      <c r="S47" s="2">
        <f t="shared" si="80"/>
        <v>17</v>
      </c>
      <c r="T47" s="2">
        <f t="shared" si="80"/>
        <v>18</v>
      </c>
      <c r="U47" s="2">
        <f t="shared" si="80"/>
        <v>19</v>
      </c>
      <c r="V47" s="2">
        <f t="shared" si="80"/>
        <v>20</v>
      </c>
      <c r="W47" s="2">
        <f t="shared" si="80"/>
        <v>21</v>
      </c>
      <c r="X47" s="2">
        <f t="shared" si="80"/>
        <v>22</v>
      </c>
      <c r="Y47" s="2">
        <f t="shared" si="80"/>
        <v>23</v>
      </c>
      <c r="Z47" s="2">
        <f t="shared" si="80"/>
        <v>24</v>
      </c>
      <c r="AA47" s="2">
        <f t="shared" si="80"/>
        <v>25</v>
      </c>
      <c r="AB47" s="2">
        <f t="shared" si="80"/>
        <v>26</v>
      </c>
      <c r="AC47" s="2">
        <f t="shared" si="80"/>
        <v>27</v>
      </c>
      <c r="AD47" s="2">
        <f t="shared" si="80"/>
        <v>28</v>
      </c>
      <c r="AE47" s="2">
        <f t="shared" si="80"/>
        <v>29</v>
      </c>
      <c r="AF47" s="2">
        <f t="shared" si="80"/>
        <v>30</v>
      </c>
      <c r="AG47" s="2">
        <f t="shared" si="80"/>
        <v>31</v>
      </c>
      <c r="AH47" s="2">
        <f t="shared" si="80"/>
        <v>32</v>
      </c>
      <c r="AI47" s="2">
        <f t="shared" si="80"/>
        <v>33</v>
      </c>
      <c r="AJ47" s="2">
        <f t="shared" si="80"/>
        <v>34</v>
      </c>
      <c r="AK47" s="2">
        <f t="shared" si="80"/>
        <v>35</v>
      </c>
      <c r="AL47" s="2">
        <f t="shared" si="80"/>
        <v>36</v>
      </c>
      <c r="AM47" s="2">
        <f t="shared" si="80"/>
        <v>37</v>
      </c>
      <c r="AN47" s="2">
        <f t="shared" si="80"/>
        <v>38</v>
      </c>
      <c r="AO47" s="2">
        <f t="shared" si="80"/>
        <v>39</v>
      </c>
      <c r="AP47" s="2">
        <f t="shared" si="80"/>
        <v>40</v>
      </c>
      <c r="AQ47" s="2">
        <f t="shared" si="80"/>
        <v>41</v>
      </c>
      <c r="AR47" s="2">
        <f t="shared" si="80"/>
        <v>42</v>
      </c>
      <c r="AS47" s="2">
        <f t="shared" si="80"/>
        <v>43</v>
      </c>
      <c r="AT47" s="2">
        <f t="shared" si="80"/>
        <v>44</v>
      </c>
      <c r="AU47" s="2">
        <f t="shared" si="80"/>
        <v>45</v>
      </c>
      <c r="AV47" s="2">
        <f t="shared" si="80"/>
        <v>46</v>
      </c>
      <c r="AW47"/>
    </row>
    <row r="48" spans="1:49" s="5" customFormat="1" x14ac:dyDescent="0.2">
      <c r="C48" s="18">
        <f t="shared" ref="C48:AV48" si="81">C$3</f>
        <v>2017</v>
      </c>
      <c r="D48" s="18">
        <f t="shared" si="81"/>
        <v>2018</v>
      </c>
      <c r="E48" s="18">
        <f t="shared" si="81"/>
        <v>2019</v>
      </c>
      <c r="F48" s="18">
        <f t="shared" si="81"/>
        <v>2020</v>
      </c>
      <c r="G48" s="18">
        <f t="shared" si="81"/>
        <v>2021</v>
      </c>
      <c r="H48" s="18">
        <f t="shared" si="81"/>
        <v>2022</v>
      </c>
      <c r="I48" s="18">
        <f t="shared" si="81"/>
        <v>2023</v>
      </c>
      <c r="J48" s="18">
        <f t="shared" si="81"/>
        <v>2024</v>
      </c>
      <c r="K48" s="18">
        <f t="shared" si="81"/>
        <v>2025</v>
      </c>
      <c r="L48" s="18">
        <f t="shared" si="81"/>
        <v>2026</v>
      </c>
      <c r="M48" s="18">
        <f t="shared" si="81"/>
        <v>2027</v>
      </c>
      <c r="N48" s="18">
        <f t="shared" si="81"/>
        <v>2028</v>
      </c>
      <c r="O48" s="18">
        <f t="shared" si="81"/>
        <v>2029</v>
      </c>
      <c r="P48" s="18">
        <f t="shared" si="81"/>
        <v>2030</v>
      </c>
      <c r="Q48" s="18">
        <f t="shared" si="81"/>
        <v>2031</v>
      </c>
      <c r="R48" s="18">
        <f t="shared" si="81"/>
        <v>2032</v>
      </c>
      <c r="S48" s="18">
        <f t="shared" si="81"/>
        <v>2033</v>
      </c>
      <c r="T48" s="18">
        <f t="shared" si="81"/>
        <v>2034</v>
      </c>
      <c r="U48" s="18">
        <f t="shared" si="81"/>
        <v>2035</v>
      </c>
      <c r="V48" s="18">
        <f t="shared" si="81"/>
        <v>2036</v>
      </c>
      <c r="W48" s="18">
        <f t="shared" si="81"/>
        <v>2037</v>
      </c>
      <c r="X48" s="18">
        <f t="shared" si="81"/>
        <v>2038</v>
      </c>
      <c r="Y48" s="18">
        <f t="shared" si="81"/>
        <v>2039</v>
      </c>
      <c r="Z48" s="18">
        <f t="shared" si="81"/>
        <v>2040</v>
      </c>
      <c r="AA48" s="18">
        <f t="shared" si="81"/>
        <v>2041</v>
      </c>
      <c r="AB48" s="18">
        <f t="shared" si="81"/>
        <v>2042</v>
      </c>
      <c r="AC48" s="18">
        <f t="shared" si="81"/>
        <v>2043</v>
      </c>
      <c r="AD48" s="18">
        <f t="shared" si="81"/>
        <v>2044</v>
      </c>
      <c r="AE48" s="18">
        <f t="shared" si="81"/>
        <v>2045</v>
      </c>
      <c r="AF48" s="18">
        <f t="shared" si="81"/>
        <v>2046</v>
      </c>
      <c r="AG48" s="18">
        <f t="shared" si="81"/>
        <v>2047</v>
      </c>
      <c r="AH48" s="18">
        <f t="shared" si="81"/>
        <v>2048</v>
      </c>
      <c r="AI48" s="18">
        <f t="shared" si="81"/>
        <v>2049</v>
      </c>
      <c r="AJ48" s="18">
        <f t="shared" si="81"/>
        <v>2050</v>
      </c>
      <c r="AK48" s="18">
        <f t="shared" si="81"/>
        <v>2051</v>
      </c>
      <c r="AL48" s="18">
        <f t="shared" si="81"/>
        <v>2052</v>
      </c>
      <c r="AM48" s="18">
        <f t="shared" si="81"/>
        <v>2053</v>
      </c>
      <c r="AN48" s="18">
        <f t="shared" si="81"/>
        <v>2054</v>
      </c>
      <c r="AO48" s="18">
        <f t="shared" si="81"/>
        <v>2055</v>
      </c>
      <c r="AP48" s="18">
        <f t="shared" si="81"/>
        <v>2056</v>
      </c>
      <c r="AQ48" s="18">
        <f t="shared" si="81"/>
        <v>2057</v>
      </c>
      <c r="AR48" s="18">
        <f t="shared" si="81"/>
        <v>2058</v>
      </c>
      <c r="AS48" s="18">
        <f t="shared" si="81"/>
        <v>2059</v>
      </c>
      <c r="AT48" s="18">
        <f t="shared" si="81"/>
        <v>2060</v>
      </c>
      <c r="AU48" s="18">
        <f t="shared" si="81"/>
        <v>2061</v>
      </c>
      <c r="AV48" s="18">
        <f t="shared" si="81"/>
        <v>2062</v>
      </c>
      <c r="AW48"/>
    </row>
    <row r="49" spans="1:49" s="5" customFormat="1" x14ac:dyDescent="0.2">
      <c r="A49" s="27" t="s">
        <v>21</v>
      </c>
      <c r="B49" s="23"/>
      <c r="C49" s="17">
        <f t="shared" ref="C49:AO49" si="82">B51</f>
        <v>676.32630000000006</v>
      </c>
      <c r="D49" s="17">
        <f t="shared" si="82"/>
        <v>672.56893166666669</v>
      </c>
      <c r="E49" s="17">
        <f t="shared" si="82"/>
        <v>657.5394583333333</v>
      </c>
      <c r="F49" s="17">
        <f t="shared" si="82"/>
        <v>642.50998499999992</v>
      </c>
      <c r="G49" s="17">
        <f t="shared" si="82"/>
        <v>627.48051166666653</v>
      </c>
      <c r="H49" s="17">
        <f t="shared" si="82"/>
        <v>612.45103833333314</v>
      </c>
      <c r="I49" s="17">
        <f t="shared" si="82"/>
        <v>597.42156499999976</v>
      </c>
      <c r="J49" s="17">
        <f t="shared" si="82"/>
        <v>582.39209166666637</v>
      </c>
      <c r="K49" s="17">
        <f t="shared" si="82"/>
        <v>567.36261833333299</v>
      </c>
      <c r="L49" s="17">
        <f t="shared" si="82"/>
        <v>552.3331449999996</v>
      </c>
      <c r="M49" s="17">
        <f t="shared" si="82"/>
        <v>537.30367166666622</v>
      </c>
      <c r="N49" s="17">
        <f t="shared" si="82"/>
        <v>522.27419833333283</v>
      </c>
      <c r="O49" s="17">
        <f t="shared" si="82"/>
        <v>507.24472499999951</v>
      </c>
      <c r="P49" s="17">
        <f t="shared" si="82"/>
        <v>492.21525166666618</v>
      </c>
      <c r="Q49" s="17">
        <f t="shared" si="82"/>
        <v>477.18577833333285</v>
      </c>
      <c r="R49" s="17">
        <f t="shared" si="82"/>
        <v>462.15630499999952</v>
      </c>
      <c r="S49" s="17">
        <f t="shared" si="82"/>
        <v>447.12683166666619</v>
      </c>
      <c r="T49" s="17">
        <f t="shared" si="82"/>
        <v>432.09735833333286</v>
      </c>
      <c r="U49" s="17">
        <f t="shared" si="82"/>
        <v>417.06788499999954</v>
      </c>
      <c r="V49" s="17">
        <f t="shared" si="82"/>
        <v>402.03841166666621</v>
      </c>
      <c r="W49" s="17">
        <f t="shared" si="82"/>
        <v>387.00893833333288</v>
      </c>
      <c r="X49" s="17">
        <f t="shared" si="82"/>
        <v>371.97946499999955</v>
      </c>
      <c r="Y49" s="17">
        <f t="shared" si="82"/>
        <v>356.94999166666622</v>
      </c>
      <c r="Z49" s="17">
        <f t="shared" si="82"/>
        <v>341.92051833333289</v>
      </c>
      <c r="AA49" s="17">
        <f t="shared" si="82"/>
        <v>326.89104499999956</v>
      </c>
      <c r="AB49" s="17">
        <f t="shared" si="82"/>
        <v>311.86157166666624</v>
      </c>
      <c r="AC49" s="17">
        <f t="shared" si="82"/>
        <v>296.83209833333291</v>
      </c>
      <c r="AD49" s="17">
        <f t="shared" si="82"/>
        <v>281.80262499999958</v>
      </c>
      <c r="AE49" s="17">
        <f t="shared" si="82"/>
        <v>266.77315166666625</v>
      </c>
      <c r="AF49" s="17">
        <f t="shared" si="82"/>
        <v>251.74367833333292</v>
      </c>
      <c r="AG49" s="17">
        <f t="shared" si="82"/>
        <v>236.71420499999959</v>
      </c>
      <c r="AH49" s="17">
        <f t="shared" si="82"/>
        <v>221.68473166666627</v>
      </c>
      <c r="AI49" s="17">
        <f t="shared" si="82"/>
        <v>206.65525833333294</v>
      </c>
      <c r="AJ49" s="17">
        <f t="shared" si="82"/>
        <v>191.62578499999961</v>
      </c>
      <c r="AK49" s="17">
        <f t="shared" si="82"/>
        <v>176.59631166666628</v>
      </c>
      <c r="AL49" s="17">
        <f t="shared" si="82"/>
        <v>161.56683833333295</v>
      </c>
      <c r="AM49" s="17">
        <f t="shared" si="82"/>
        <v>146.53736499999962</v>
      </c>
      <c r="AN49" s="17">
        <f t="shared" si="82"/>
        <v>131.5078916666663</v>
      </c>
      <c r="AO49" s="17">
        <f t="shared" si="82"/>
        <v>116.47841833333297</v>
      </c>
      <c r="AP49" s="17">
        <f t="shared" ref="AP49" si="83">AO51</f>
        <v>101.44894499999964</v>
      </c>
      <c r="AQ49" s="17">
        <f t="shared" ref="AQ49" si="84">AP51</f>
        <v>86.419471666666311</v>
      </c>
      <c r="AR49" s="17">
        <f t="shared" ref="AR49" si="85">AQ51</f>
        <v>71.389998333332983</v>
      </c>
      <c r="AS49" s="17">
        <f t="shared" ref="AS49" si="86">AR51</f>
        <v>56.360524999999647</v>
      </c>
      <c r="AT49" s="17">
        <f t="shared" ref="AT49" si="87">AS51</f>
        <v>41.331051666666312</v>
      </c>
      <c r="AU49" s="17">
        <f t="shared" ref="AU49:AV49" si="88">AT51</f>
        <v>26.301578333332976</v>
      </c>
      <c r="AV49" s="17">
        <f t="shared" si="88"/>
        <v>15.029473333332975</v>
      </c>
      <c r="AW49"/>
    </row>
    <row r="50" spans="1:49" s="5" customFormat="1" x14ac:dyDescent="0.2">
      <c r="A50" s="27" t="s">
        <v>22</v>
      </c>
      <c r="B50" s="24">
        <f>SUM(C50:AV50)</f>
        <v>661.29682666666702</v>
      </c>
      <c r="C50" s="28">
        <f>C83</f>
        <v>3.7573683333333339</v>
      </c>
      <c r="D50" s="28">
        <f t="shared" ref="D50:AO50" si="89">IF(D47&lt;=$C$7,$C$6/$C$7,0)</f>
        <v>15.029473333333335</v>
      </c>
      <c r="E50" s="28">
        <f t="shared" si="89"/>
        <v>15.029473333333335</v>
      </c>
      <c r="F50" s="28">
        <f t="shared" si="89"/>
        <v>15.029473333333335</v>
      </c>
      <c r="G50" s="28">
        <f t="shared" si="89"/>
        <v>15.029473333333335</v>
      </c>
      <c r="H50" s="28">
        <f t="shared" si="89"/>
        <v>15.029473333333335</v>
      </c>
      <c r="I50" s="28">
        <f t="shared" si="89"/>
        <v>15.029473333333335</v>
      </c>
      <c r="J50" s="28">
        <f t="shared" si="89"/>
        <v>15.029473333333335</v>
      </c>
      <c r="K50" s="28">
        <f t="shared" si="89"/>
        <v>15.029473333333335</v>
      </c>
      <c r="L50" s="28">
        <f t="shared" si="89"/>
        <v>15.029473333333335</v>
      </c>
      <c r="M50" s="28">
        <f t="shared" si="89"/>
        <v>15.029473333333335</v>
      </c>
      <c r="N50" s="28">
        <f t="shared" si="89"/>
        <v>15.029473333333335</v>
      </c>
      <c r="O50" s="28">
        <f t="shared" si="89"/>
        <v>15.029473333333335</v>
      </c>
      <c r="P50" s="28">
        <f t="shared" si="89"/>
        <v>15.029473333333335</v>
      </c>
      <c r="Q50" s="28">
        <f t="shared" si="89"/>
        <v>15.029473333333335</v>
      </c>
      <c r="R50" s="28">
        <f t="shared" si="89"/>
        <v>15.029473333333335</v>
      </c>
      <c r="S50" s="28">
        <f t="shared" si="89"/>
        <v>15.029473333333335</v>
      </c>
      <c r="T50" s="28">
        <f t="shared" si="89"/>
        <v>15.029473333333335</v>
      </c>
      <c r="U50" s="28">
        <f t="shared" si="89"/>
        <v>15.029473333333335</v>
      </c>
      <c r="V50" s="28">
        <f t="shared" si="89"/>
        <v>15.029473333333335</v>
      </c>
      <c r="W50" s="28">
        <f t="shared" si="89"/>
        <v>15.029473333333335</v>
      </c>
      <c r="X50" s="28">
        <f t="shared" si="89"/>
        <v>15.029473333333335</v>
      </c>
      <c r="Y50" s="28">
        <f t="shared" si="89"/>
        <v>15.029473333333335</v>
      </c>
      <c r="Z50" s="28">
        <f t="shared" si="89"/>
        <v>15.029473333333335</v>
      </c>
      <c r="AA50" s="28">
        <f t="shared" si="89"/>
        <v>15.029473333333335</v>
      </c>
      <c r="AB50" s="28">
        <f t="shared" si="89"/>
        <v>15.029473333333335</v>
      </c>
      <c r="AC50" s="28">
        <f t="shared" si="89"/>
        <v>15.029473333333335</v>
      </c>
      <c r="AD50" s="28">
        <f t="shared" si="89"/>
        <v>15.029473333333335</v>
      </c>
      <c r="AE50" s="28">
        <f t="shared" si="89"/>
        <v>15.029473333333335</v>
      </c>
      <c r="AF50" s="28">
        <f t="shared" si="89"/>
        <v>15.029473333333335</v>
      </c>
      <c r="AG50" s="28">
        <f t="shared" si="89"/>
        <v>15.029473333333335</v>
      </c>
      <c r="AH50" s="28">
        <f t="shared" si="89"/>
        <v>15.029473333333335</v>
      </c>
      <c r="AI50" s="28">
        <f t="shared" si="89"/>
        <v>15.029473333333335</v>
      </c>
      <c r="AJ50" s="28">
        <f t="shared" si="89"/>
        <v>15.029473333333335</v>
      </c>
      <c r="AK50" s="28">
        <f t="shared" si="89"/>
        <v>15.029473333333335</v>
      </c>
      <c r="AL50" s="28">
        <f t="shared" si="89"/>
        <v>15.029473333333335</v>
      </c>
      <c r="AM50" s="28">
        <f t="shared" si="89"/>
        <v>15.029473333333335</v>
      </c>
      <c r="AN50" s="28">
        <f t="shared" si="89"/>
        <v>15.029473333333335</v>
      </c>
      <c r="AO50" s="28">
        <f t="shared" si="89"/>
        <v>15.029473333333335</v>
      </c>
      <c r="AP50" s="28">
        <f t="shared" ref="AP50:AT50" si="90">IF(AP47&lt;=$C$7,$C$6/$C$7,0)</f>
        <v>15.029473333333335</v>
      </c>
      <c r="AQ50" s="28">
        <f t="shared" si="90"/>
        <v>15.029473333333335</v>
      </c>
      <c r="AR50" s="28">
        <f t="shared" si="90"/>
        <v>15.029473333333335</v>
      </c>
      <c r="AS50" s="28">
        <f t="shared" si="90"/>
        <v>15.029473333333335</v>
      </c>
      <c r="AT50" s="28">
        <f t="shared" si="90"/>
        <v>15.029473333333335</v>
      </c>
      <c r="AU50" s="28">
        <f>IF(AU47&lt;=$C$7,$C$6/$C$7,0)*9/12</f>
        <v>11.272105000000002</v>
      </c>
      <c r="AV50" s="28">
        <f>IF(AV47&lt;=$C$7,$C$6/$C$7,0)*9/12</f>
        <v>0</v>
      </c>
      <c r="AW50"/>
    </row>
    <row r="51" spans="1:49" s="5" customFormat="1" x14ac:dyDescent="0.2">
      <c r="A51" s="27" t="s">
        <v>23</v>
      </c>
      <c r="B51" s="17">
        <f>C6</f>
        <v>676.32630000000006</v>
      </c>
      <c r="C51" s="17">
        <f>C49-C50</f>
        <v>672.56893166666669</v>
      </c>
      <c r="D51" s="17">
        <f t="shared" ref="D51:AO51" si="91">D49-D50</f>
        <v>657.5394583333333</v>
      </c>
      <c r="E51" s="17">
        <f t="shared" si="91"/>
        <v>642.50998499999992</v>
      </c>
      <c r="F51" s="17">
        <f t="shared" si="91"/>
        <v>627.48051166666653</v>
      </c>
      <c r="G51" s="17">
        <f t="shared" si="91"/>
        <v>612.45103833333314</v>
      </c>
      <c r="H51" s="17">
        <f t="shared" si="91"/>
        <v>597.42156499999976</v>
      </c>
      <c r="I51" s="17">
        <f t="shared" si="91"/>
        <v>582.39209166666637</v>
      </c>
      <c r="J51" s="17">
        <f t="shared" si="91"/>
        <v>567.36261833333299</v>
      </c>
      <c r="K51" s="17">
        <f t="shared" si="91"/>
        <v>552.3331449999996</v>
      </c>
      <c r="L51" s="17">
        <f t="shared" si="91"/>
        <v>537.30367166666622</v>
      </c>
      <c r="M51" s="17">
        <f t="shared" si="91"/>
        <v>522.27419833333283</v>
      </c>
      <c r="N51" s="17">
        <f t="shared" si="91"/>
        <v>507.24472499999951</v>
      </c>
      <c r="O51" s="17">
        <f t="shared" si="91"/>
        <v>492.21525166666618</v>
      </c>
      <c r="P51" s="17">
        <f t="shared" si="91"/>
        <v>477.18577833333285</v>
      </c>
      <c r="Q51" s="17">
        <f t="shared" si="91"/>
        <v>462.15630499999952</v>
      </c>
      <c r="R51" s="17">
        <f t="shared" si="91"/>
        <v>447.12683166666619</v>
      </c>
      <c r="S51" s="17">
        <f t="shared" si="91"/>
        <v>432.09735833333286</v>
      </c>
      <c r="T51" s="17">
        <f t="shared" si="91"/>
        <v>417.06788499999954</v>
      </c>
      <c r="U51" s="17">
        <f t="shared" si="91"/>
        <v>402.03841166666621</v>
      </c>
      <c r="V51" s="17">
        <f t="shared" si="91"/>
        <v>387.00893833333288</v>
      </c>
      <c r="W51" s="17">
        <f t="shared" si="91"/>
        <v>371.97946499999955</v>
      </c>
      <c r="X51" s="17">
        <f t="shared" si="91"/>
        <v>356.94999166666622</v>
      </c>
      <c r="Y51" s="17">
        <f t="shared" si="91"/>
        <v>341.92051833333289</v>
      </c>
      <c r="Z51" s="17">
        <f t="shared" si="91"/>
        <v>326.89104499999956</v>
      </c>
      <c r="AA51" s="17">
        <f t="shared" si="91"/>
        <v>311.86157166666624</v>
      </c>
      <c r="AB51" s="17">
        <f t="shared" si="91"/>
        <v>296.83209833333291</v>
      </c>
      <c r="AC51" s="17">
        <f t="shared" si="91"/>
        <v>281.80262499999958</v>
      </c>
      <c r="AD51" s="17">
        <f t="shared" si="91"/>
        <v>266.77315166666625</v>
      </c>
      <c r="AE51" s="17">
        <f t="shared" si="91"/>
        <v>251.74367833333292</v>
      </c>
      <c r="AF51" s="17">
        <f t="shared" si="91"/>
        <v>236.71420499999959</v>
      </c>
      <c r="AG51" s="17">
        <f t="shared" si="91"/>
        <v>221.68473166666627</v>
      </c>
      <c r="AH51" s="17">
        <f t="shared" si="91"/>
        <v>206.65525833333294</v>
      </c>
      <c r="AI51" s="17">
        <f t="shared" si="91"/>
        <v>191.62578499999961</v>
      </c>
      <c r="AJ51" s="17">
        <f t="shared" si="91"/>
        <v>176.59631166666628</v>
      </c>
      <c r="AK51" s="17">
        <f t="shared" si="91"/>
        <v>161.56683833333295</v>
      </c>
      <c r="AL51" s="17">
        <f t="shared" si="91"/>
        <v>146.53736499999962</v>
      </c>
      <c r="AM51" s="17">
        <f t="shared" si="91"/>
        <v>131.5078916666663</v>
      </c>
      <c r="AN51" s="17">
        <f t="shared" si="91"/>
        <v>116.47841833333297</v>
      </c>
      <c r="AO51" s="17">
        <f t="shared" si="91"/>
        <v>101.44894499999964</v>
      </c>
      <c r="AP51" s="17">
        <f t="shared" ref="AP51:AU51" si="92">AP49-AP50</f>
        <v>86.419471666666311</v>
      </c>
      <c r="AQ51" s="17">
        <f t="shared" si="92"/>
        <v>71.389998333332983</v>
      </c>
      <c r="AR51" s="17">
        <f t="shared" si="92"/>
        <v>56.360524999999647</v>
      </c>
      <c r="AS51" s="17">
        <f t="shared" si="92"/>
        <v>41.331051666666312</v>
      </c>
      <c r="AT51" s="17">
        <f t="shared" si="92"/>
        <v>26.301578333332976</v>
      </c>
      <c r="AU51" s="17">
        <f t="shared" si="92"/>
        <v>15.029473333332975</v>
      </c>
      <c r="AV51" s="17">
        <f t="shared" ref="AV51" si="93">AV49-AV50</f>
        <v>15.029473333332975</v>
      </c>
      <c r="AW51"/>
    </row>
    <row r="52" spans="1:49" s="5" customFormat="1" x14ac:dyDescent="0.2">
      <c r="A52" s="27" t="s">
        <v>26</v>
      </c>
      <c r="C52" s="17">
        <f t="shared" ref="C52:AO52" si="94">(C49+C51)*0.5</f>
        <v>674.44761583333343</v>
      </c>
      <c r="D52" s="17">
        <f t="shared" si="94"/>
        <v>665.05419499999994</v>
      </c>
      <c r="E52" s="17">
        <f t="shared" si="94"/>
        <v>650.02472166666666</v>
      </c>
      <c r="F52" s="17">
        <f t="shared" si="94"/>
        <v>634.99524833333317</v>
      </c>
      <c r="G52" s="17">
        <f t="shared" si="94"/>
        <v>619.96577499999989</v>
      </c>
      <c r="H52" s="17">
        <f t="shared" si="94"/>
        <v>604.9363016666664</v>
      </c>
      <c r="I52" s="17">
        <f t="shared" si="94"/>
        <v>589.90682833333312</v>
      </c>
      <c r="J52" s="17">
        <f t="shared" si="94"/>
        <v>574.87735499999962</v>
      </c>
      <c r="K52" s="17">
        <f t="shared" si="94"/>
        <v>559.84788166666635</v>
      </c>
      <c r="L52" s="17">
        <f t="shared" si="94"/>
        <v>544.81840833333285</v>
      </c>
      <c r="M52" s="17">
        <f t="shared" si="94"/>
        <v>529.78893499999958</v>
      </c>
      <c r="N52" s="17">
        <f t="shared" si="94"/>
        <v>514.7594616666662</v>
      </c>
      <c r="O52" s="17">
        <f t="shared" si="94"/>
        <v>499.72998833333281</v>
      </c>
      <c r="P52" s="17">
        <f t="shared" si="94"/>
        <v>484.70051499999954</v>
      </c>
      <c r="Q52" s="17">
        <f t="shared" si="94"/>
        <v>469.67104166666616</v>
      </c>
      <c r="R52" s="17">
        <f t="shared" si="94"/>
        <v>454.64156833333288</v>
      </c>
      <c r="S52" s="17">
        <f t="shared" si="94"/>
        <v>439.6120949999995</v>
      </c>
      <c r="T52" s="17">
        <f t="shared" si="94"/>
        <v>424.58262166666623</v>
      </c>
      <c r="U52" s="17">
        <f t="shared" si="94"/>
        <v>409.55314833333284</v>
      </c>
      <c r="V52" s="17">
        <f t="shared" si="94"/>
        <v>394.52367499999957</v>
      </c>
      <c r="W52" s="17">
        <f t="shared" si="94"/>
        <v>379.49420166666619</v>
      </c>
      <c r="X52" s="17">
        <f t="shared" si="94"/>
        <v>364.46472833333291</v>
      </c>
      <c r="Y52" s="17">
        <f t="shared" si="94"/>
        <v>349.43525499999953</v>
      </c>
      <c r="Z52" s="17">
        <f t="shared" si="94"/>
        <v>334.40578166666626</v>
      </c>
      <c r="AA52" s="17">
        <f t="shared" si="94"/>
        <v>319.37630833333287</v>
      </c>
      <c r="AB52" s="17">
        <f t="shared" si="94"/>
        <v>304.3468349999996</v>
      </c>
      <c r="AC52" s="17">
        <f t="shared" si="94"/>
        <v>289.31736166666622</v>
      </c>
      <c r="AD52" s="17">
        <f t="shared" si="94"/>
        <v>274.28788833333294</v>
      </c>
      <c r="AE52" s="17">
        <f t="shared" si="94"/>
        <v>259.25841499999956</v>
      </c>
      <c r="AF52" s="17">
        <f t="shared" si="94"/>
        <v>244.22894166666626</v>
      </c>
      <c r="AG52" s="17">
        <f t="shared" si="94"/>
        <v>229.19946833333293</v>
      </c>
      <c r="AH52" s="17">
        <f t="shared" si="94"/>
        <v>214.1699949999996</v>
      </c>
      <c r="AI52" s="17">
        <f t="shared" si="94"/>
        <v>199.14052166666627</v>
      </c>
      <c r="AJ52" s="17">
        <f t="shared" si="94"/>
        <v>184.11104833333295</v>
      </c>
      <c r="AK52" s="17">
        <f t="shared" si="94"/>
        <v>169.08157499999962</v>
      </c>
      <c r="AL52" s="17">
        <f t="shared" si="94"/>
        <v>154.05210166666629</v>
      </c>
      <c r="AM52" s="17">
        <f t="shared" si="94"/>
        <v>139.02262833333296</v>
      </c>
      <c r="AN52" s="17">
        <f t="shared" si="94"/>
        <v>123.99315499999963</v>
      </c>
      <c r="AO52" s="17">
        <f t="shared" si="94"/>
        <v>108.9636816666663</v>
      </c>
      <c r="AP52" s="17">
        <f t="shared" ref="AP52:AU52" si="95">(AP49+AP51)*0.5</f>
        <v>93.934208333332975</v>
      </c>
      <c r="AQ52" s="17">
        <f t="shared" si="95"/>
        <v>78.904734999999647</v>
      </c>
      <c r="AR52" s="17">
        <f t="shared" si="95"/>
        <v>63.875261666666319</v>
      </c>
      <c r="AS52" s="17">
        <f t="shared" si="95"/>
        <v>48.845788333332976</v>
      </c>
      <c r="AT52" s="17">
        <f t="shared" si="95"/>
        <v>33.816314999999648</v>
      </c>
      <c r="AU52" s="17">
        <f t="shared" si="95"/>
        <v>20.665525833332975</v>
      </c>
      <c r="AV52" s="17">
        <f t="shared" ref="AV52" si="96">(AV49+AV51)*0.5</f>
        <v>15.029473333332975</v>
      </c>
      <c r="AW52"/>
    </row>
    <row r="53" spans="1:49" s="5" customFormat="1" x14ac:dyDescent="0.2">
      <c r="AW53"/>
    </row>
    <row r="54" spans="1:49" s="5" customFormat="1" ht="27.75" customHeight="1" thickBot="1" x14ac:dyDescent="0.25">
      <c r="A54" s="199" t="s">
        <v>191</v>
      </c>
      <c r="C54" s="2">
        <f t="shared" ref="C54:AV54" si="97">C$2</f>
        <v>1</v>
      </c>
      <c r="D54" s="2">
        <f t="shared" si="97"/>
        <v>2</v>
      </c>
      <c r="E54" s="2">
        <f t="shared" si="97"/>
        <v>3</v>
      </c>
      <c r="F54" s="2">
        <f t="shared" si="97"/>
        <v>4</v>
      </c>
      <c r="G54" s="2">
        <f t="shared" si="97"/>
        <v>5</v>
      </c>
      <c r="H54" s="2">
        <f t="shared" si="97"/>
        <v>6</v>
      </c>
      <c r="I54" s="2">
        <f t="shared" si="97"/>
        <v>7</v>
      </c>
      <c r="J54" s="2">
        <f t="shared" si="97"/>
        <v>8</v>
      </c>
      <c r="K54" s="2">
        <f t="shared" si="97"/>
        <v>9</v>
      </c>
      <c r="L54" s="2">
        <f t="shared" si="97"/>
        <v>10</v>
      </c>
      <c r="M54" s="2">
        <f t="shared" si="97"/>
        <v>11</v>
      </c>
      <c r="N54" s="2">
        <f t="shared" si="97"/>
        <v>12</v>
      </c>
      <c r="O54" s="2">
        <f t="shared" si="97"/>
        <v>13</v>
      </c>
      <c r="P54" s="2">
        <f t="shared" si="97"/>
        <v>14</v>
      </c>
      <c r="Q54" s="2">
        <f t="shared" si="97"/>
        <v>15</v>
      </c>
      <c r="R54" s="2">
        <f t="shared" si="97"/>
        <v>16</v>
      </c>
      <c r="S54" s="2">
        <f t="shared" si="97"/>
        <v>17</v>
      </c>
      <c r="T54" s="2">
        <f t="shared" si="97"/>
        <v>18</v>
      </c>
      <c r="U54" s="2">
        <f t="shared" si="97"/>
        <v>19</v>
      </c>
      <c r="V54" s="2">
        <f t="shared" si="97"/>
        <v>20</v>
      </c>
      <c r="W54" s="2">
        <f t="shared" si="97"/>
        <v>21</v>
      </c>
      <c r="X54" s="2">
        <f t="shared" si="97"/>
        <v>22</v>
      </c>
      <c r="Y54" s="2">
        <f t="shared" si="97"/>
        <v>23</v>
      </c>
      <c r="Z54" s="2">
        <f t="shared" si="97"/>
        <v>24</v>
      </c>
      <c r="AA54" s="2">
        <f t="shared" si="97"/>
        <v>25</v>
      </c>
      <c r="AB54" s="2">
        <f t="shared" si="97"/>
        <v>26</v>
      </c>
      <c r="AC54" s="2">
        <f t="shared" si="97"/>
        <v>27</v>
      </c>
      <c r="AD54" s="2">
        <f t="shared" si="97"/>
        <v>28</v>
      </c>
      <c r="AE54" s="2">
        <f t="shared" si="97"/>
        <v>29</v>
      </c>
      <c r="AF54" s="2">
        <f t="shared" si="97"/>
        <v>30</v>
      </c>
      <c r="AG54" s="2">
        <f t="shared" si="97"/>
        <v>31</v>
      </c>
      <c r="AH54" s="2">
        <f t="shared" si="97"/>
        <v>32</v>
      </c>
      <c r="AI54" s="2">
        <f t="shared" si="97"/>
        <v>33</v>
      </c>
      <c r="AJ54" s="2">
        <f t="shared" si="97"/>
        <v>34</v>
      </c>
      <c r="AK54" s="2">
        <f t="shared" si="97"/>
        <v>35</v>
      </c>
      <c r="AL54" s="2">
        <f t="shared" si="97"/>
        <v>36</v>
      </c>
      <c r="AM54" s="2">
        <f t="shared" si="97"/>
        <v>37</v>
      </c>
      <c r="AN54" s="2">
        <f t="shared" si="97"/>
        <v>38</v>
      </c>
      <c r="AO54" s="2">
        <f t="shared" si="97"/>
        <v>39</v>
      </c>
      <c r="AP54" s="2">
        <f t="shared" si="97"/>
        <v>40</v>
      </c>
      <c r="AQ54" s="2">
        <f t="shared" si="97"/>
        <v>41</v>
      </c>
      <c r="AR54" s="2">
        <f t="shared" si="97"/>
        <v>42</v>
      </c>
      <c r="AS54" s="2">
        <f t="shared" si="97"/>
        <v>43</v>
      </c>
      <c r="AT54" s="2">
        <f t="shared" si="97"/>
        <v>44</v>
      </c>
      <c r="AU54" s="2">
        <f t="shared" si="97"/>
        <v>45</v>
      </c>
      <c r="AV54" s="2">
        <f t="shared" si="97"/>
        <v>46</v>
      </c>
      <c r="AW54"/>
    </row>
    <row r="55" spans="1:49" s="5" customFormat="1" x14ac:dyDescent="0.2">
      <c r="A55" s="26"/>
      <c r="B55" s="9"/>
      <c r="C55" s="18">
        <f t="shared" ref="C55:AV55" si="98">C$3</f>
        <v>2017</v>
      </c>
      <c r="D55" s="18">
        <f t="shared" si="98"/>
        <v>2018</v>
      </c>
      <c r="E55" s="18">
        <f t="shared" si="98"/>
        <v>2019</v>
      </c>
      <c r="F55" s="18">
        <f t="shared" si="98"/>
        <v>2020</v>
      </c>
      <c r="G55" s="18">
        <f t="shared" si="98"/>
        <v>2021</v>
      </c>
      <c r="H55" s="18">
        <f t="shared" si="98"/>
        <v>2022</v>
      </c>
      <c r="I55" s="18">
        <f t="shared" si="98"/>
        <v>2023</v>
      </c>
      <c r="J55" s="18">
        <f t="shared" si="98"/>
        <v>2024</v>
      </c>
      <c r="K55" s="18">
        <f t="shared" si="98"/>
        <v>2025</v>
      </c>
      <c r="L55" s="18">
        <f t="shared" si="98"/>
        <v>2026</v>
      </c>
      <c r="M55" s="18">
        <f t="shared" si="98"/>
        <v>2027</v>
      </c>
      <c r="N55" s="18">
        <f t="shared" si="98"/>
        <v>2028</v>
      </c>
      <c r="O55" s="18">
        <f t="shared" si="98"/>
        <v>2029</v>
      </c>
      <c r="P55" s="18">
        <f t="shared" si="98"/>
        <v>2030</v>
      </c>
      <c r="Q55" s="18">
        <f t="shared" si="98"/>
        <v>2031</v>
      </c>
      <c r="R55" s="18">
        <f t="shared" si="98"/>
        <v>2032</v>
      </c>
      <c r="S55" s="18">
        <f t="shared" si="98"/>
        <v>2033</v>
      </c>
      <c r="T55" s="18">
        <f t="shared" si="98"/>
        <v>2034</v>
      </c>
      <c r="U55" s="18">
        <f t="shared" si="98"/>
        <v>2035</v>
      </c>
      <c r="V55" s="18">
        <f t="shared" si="98"/>
        <v>2036</v>
      </c>
      <c r="W55" s="18">
        <f t="shared" si="98"/>
        <v>2037</v>
      </c>
      <c r="X55" s="18">
        <f t="shared" si="98"/>
        <v>2038</v>
      </c>
      <c r="Y55" s="18">
        <f t="shared" si="98"/>
        <v>2039</v>
      </c>
      <c r="Z55" s="18">
        <f t="shared" si="98"/>
        <v>2040</v>
      </c>
      <c r="AA55" s="18">
        <f t="shared" si="98"/>
        <v>2041</v>
      </c>
      <c r="AB55" s="18">
        <f t="shared" si="98"/>
        <v>2042</v>
      </c>
      <c r="AC55" s="18">
        <f t="shared" si="98"/>
        <v>2043</v>
      </c>
      <c r="AD55" s="18">
        <f t="shared" si="98"/>
        <v>2044</v>
      </c>
      <c r="AE55" s="18">
        <f t="shared" si="98"/>
        <v>2045</v>
      </c>
      <c r="AF55" s="18">
        <f t="shared" si="98"/>
        <v>2046</v>
      </c>
      <c r="AG55" s="18">
        <f t="shared" si="98"/>
        <v>2047</v>
      </c>
      <c r="AH55" s="18">
        <f t="shared" si="98"/>
        <v>2048</v>
      </c>
      <c r="AI55" s="18">
        <f t="shared" si="98"/>
        <v>2049</v>
      </c>
      <c r="AJ55" s="18">
        <f t="shared" si="98"/>
        <v>2050</v>
      </c>
      <c r="AK55" s="18">
        <f t="shared" si="98"/>
        <v>2051</v>
      </c>
      <c r="AL55" s="18">
        <f t="shared" si="98"/>
        <v>2052</v>
      </c>
      <c r="AM55" s="18">
        <f t="shared" si="98"/>
        <v>2053</v>
      </c>
      <c r="AN55" s="18">
        <f t="shared" si="98"/>
        <v>2054</v>
      </c>
      <c r="AO55" s="18">
        <f t="shared" si="98"/>
        <v>2055</v>
      </c>
      <c r="AP55" s="18">
        <f t="shared" si="98"/>
        <v>2056</v>
      </c>
      <c r="AQ55" s="18">
        <f t="shared" si="98"/>
        <v>2057</v>
      </c>
      <c r="AR55" s="18">
        <f t="shared" si="98"/>
        <v>2058</v>
      </c>
      <c r="AS55" s="18">
        <f t="shared" si="98"/>
        <v>2059</v>
      </c>
      <c r="AT55" s="18">
        <f t="shared" si="98"/>
        <v>2060</v>
      </c>
      <c r="AU55" s="18">
        <f t="shared" si="98"/>
        <v>2061</v>
      </c>
      <c r="AV55" s="18">
        <f t="shared" si="98"/>
        <v>2062</v>
      </c>
      <c r="AW55"/>
    </row>
    <row r="56" spans="1:49" s="5" customFormat="1" x14ac:dyDescent="0.2">
      <c r="A56" s="27" t="s">
        <v>24</v>
      </c>
      <c r="C56" s="23">
        <f t="shared" ref="C56:AU56" ca="1" si="99">C36</f>
        <v>8.1241518602958962</v>
      </c>
      <c r="D56" s="23">
        <f t="shared" ca="1" si="99"/>
        <v>56.951139738309188</v>
      </c>
      <c r="E56" s="23">
        <f t="shared" ca="1" si="99"/>
        <v>57.495877553814502</v>
      </c>
      <c r="F56" s="23">
        <f t="shared" ca="1" si="99"/>
        <v>57.891263702765372</v>
      </c>
      <c r="G56" s="23">
        <f t="shared" ca="1" si="99"/>
        <v>58.149246318486163</v>
      </c>
      <c r="H56" s="23">
        <f t="shared" ca="1" si="99"/>
        <v>58.280817683635277</v>
      </c>
      <c r="I56" s="23">
        <f t="shared" ca="1" si="99"/>
        <v>58.296090698258475</v>
      </c>
      <c r="J56" s="23">
        <f t="shared" ca="1" si="99"/>
        <v>58.204369230397781</v>
      </c>
      <c r="K56" s="23">
        <f t="shared" ca="1" si="99"/>
        <v>58.01421283865195</v>
      </c>
      <c r="L56" s="23">
        <f t="shared" ca="1" si="99"/>
        <v>57.733496316931756</v>
      </c>
      <c r="M56" s="23">
        <f t="shared" ca="1" si="99"/>
        <v>57.369464475635191</v>
      </c>
      <c r="N56" s="23">
        <f t="shared" ca="1" si="99"/>
        <v>56.928782540328335</v>
      </c>
      <c r="O56" s="23">
        <f t="shared" ca="1" si="99"/>
        <v>56.417582518532015</v>
      </c>
      <c r="P56" s="23">
        <f t="shared" ca="1" si="99"/>
        <v>55.841505857165394</v>
      </c>
      <c r="Q56" s="23">
        <f t="shared" ca="1" si="99"/>
        <v>55.205742687394078</v>
      </c>
      <c r="R56" s="23">
        <f t="shared" ca="1" si="99"/>
        <v>54.515067929890478</v>
      </c>
      <c r="S56" s="23">
        <f t="shared" ca="1" si="99"/>
        <v>53.773874511673149</v>
      </c>
      <c r="T56" s="23">
        <f t="shared" ca="1" si="99"/>
        <v>52.986203925599199</v>
      </c>
      <c r="U56" s="23">
        <f t="shared" ca="1" si="99"/>
        <v>52.155774345097157</v>
      </c>
      <c r="V56" s="23">
        <f t="shared" ca="1" si="99"/>
        <v>51.28600648972126</v>
      </c>
      <c r="W56" s="23">
        <f t="shared" ca="1" si="99"/>
        <v>50.380047421461427</v>
      </c>
      <c r="X56" s="23">
        <f t="shared" ca="1" si="99"/>
        <v>49.440792437348385</v>
      </c>
      <c r="Y56" s="23">
        <f t="shared" ca="1" si="99"/>
        <v>48.470905210650358</v>
      </c>
      <c r="Z56" s="23">
        <f t="shared" ca="1" si="99"/>
        <v>47.472836320774178</v>
      </c>
      <c r="AA56" s="23">
        <f t="shared" ca="1" si="99"/>
        <v>46.44884030077408</v>
      </c>
      <c r="AB56" s="23">
        <f t="shared" ca="1" si="99"/>
        <v>45.400991321059976</v>
      </c>
      <c r="AC56" s="23">
        <f t="shared" ca="1" si="99"/>
        <v>44.331197618409</v>
      </c>
      <c r="AD56" s="23">
        <f t="shared" ca="1" si="99"/>
        <v>43.241214770656079</v>
      </c>
      <c r="AE56" s="23">
        <f t="shared" ca="1" si="99"/>
        <v>42.132657909409389</v>
      </c>
      <c r="AF56" s="23">
        <f t="shared" ca="1" si="99"/>
        <v>41.007012955748422</v>
      </c>
      <c r="AG56" s="23">
        <f t="shared" ca="1" si="99"/>
        <v>39.865646957066325</v>
      </c>
      <c r="AH56" s="23">
        <f t="shared" ca="1" si="99"/>
        <v>38.709817596964783</v>
      </c>
      <c r="AI56" s="23">
        <f t="shared" ca="1" si="99"/>
        <v>37.540681944357353</v>
      </c>
      <c r="AJ56" s="23">
        <f t="shared" ca="1" si="99"/>
        <v>36.35930450264452</v>
      </c>
      <c r="AK56" s="23">
        <f t="shared" ca="1" si="99"/>
        <v>35.166664614954691</v>
      </c>
      <c r="AL56" s="23">
        <f t="shared" ca="1" si="99"/>
        <v>33.963663276966045</v>
      </c>
      <c r="AM56" s="23">
        <f t="shared" ca="1" si="99"/>
        <v>32.751129404702475</v>
      </c>
      <c r="AN56" s="23">
        <f t="shared" ca="1" si="99"/>
        <v>31.529825600905987</v>
      </c>
      <c r="AO56" s="23">
        <f t="shared" ca="1" si="99"/>
        <v>30.300453460099206</v>
      </c>
      <c r="AP56" s="23">
        <f t="shared" ca="1" si="99"/>
        <v>29.063658449242954</v>
      </c>
      <c r="AQ56" s="23">
        <f t="shared" ca="1" si="99"/>
        <v>27.820034397941207</v>
      </c>
      <c r="AR56" s="23">
        <f t="shared" ca="1" si="99"/>
        <v>26.570127629429578</v>
      </c>
      <c r="AS56" s="23">
        <f t="shared" ca="1" si="99"/>
        <v>25.314440761084867</v>
      </c>
      <c r="AT56" s="23">
        <f t="shared" ca="1" si="99"/>
        <v>24.053436200893728</v>
      </c>
      <c r="AU56" s="23">
        <f t="shared" ca="1" si="99"/>
        <v>22.952809116257008</v>
      </c>
      <c r="AV56" s="23">
        <f t="shared" ref="AV56" ca="1" si="100">AV36</f>
        <v>16.732759288690755</v>
      </c>
      <c r="AW56"/>
    </row>
    <row r="57" spans="1:49" s="5" customFormat="1" ht="12" customHeight="1" x14ac:dyDescent="0.2">
      <c r="A57" s="27" t="s">
        <v>31</v>
      </c>
      <c r="C57" s="23">
        <f t="shared" ref="C57:AU57" si="101">C33</f>
        <v>5.0583571187500009</v>
      </c>
      <c r="D57" s="23">
        <f t="shared" si="101"/>
        <v>19.951625849999999</v>
      </c>
      <c r="E57" s="23">
        <f t="shared" si="101"/>
        <v>19.500741650000002</v>
      </c>
      <c r="F57" s="23">
        <f t="shared" si="101"/>
        <v>19.049857449999994</v>
      </c>
      <c r="G57" s="23">
        <f t="shared" si="101"/>
        <v>18.598973249999997</v>
      </c>
      <c r="H57" s="23">
        <f t="shared" si="101"/>
        <v>18.148089049999992</v>
      </c>
      <c r="I57" s="23">
        <f t="shared" si="101"/>
        <v>17.697204849999995</v>
      </c>
      <c r="J57" s="23">
        <f t="shared" si="101"/>
        <v>17.246320649999987</v>
      </c>
      <c r="K57" s="23">
        <f t="shared" si="101"/>
        <v>16.795436449999993</v>
      </c>
      <c r="L57" s="23">
        <f t="shared" si="101"/>
        <v>16.344552249999985</v>
      </c>
      <c r="M57" s="23">
        <f t="shared" si="101"/>
        <v>15.893668049999988</v>
      </c>
      <c r="N57" s="23">
        <f t="shared" si="101"/>
        <v>15.442783849999987</v>
      </c>
      <c r="O57" s="23">
        <f t="shared" si="101"/>
        <v>14.991899649999986</v>
      </c>
      <c r="P57" s="23">
        <f t="shared" si="101"/>
        <v>14.541015449999987</v>
      </c>
      <c r="Q57" s="23">
        <f t="shared" si="101"/>
        <v>14.090131249999985</v>
      </c>
      <c r="R57" s="23">
        <f t="shared" si="101"/>
        <v>13.639247049999987</v>
      </c>
      <c r="S57" s="23">
        <f t="shared" si="101"/>
        <v>13.188362849999985</v>
      </c>
      <c r="T57" s="23">
        <f t="shared" si="101"/>
        <v>12.737478649999986</v>
      </c>
      <c r="U57" s="23">
        <f t="shared" si="101"/>
        <v>12.286594449999985</v>
      </c>
      <c r="V57" s="23">
        <f t="shared" si="101"/>
        <v>11.835710249999988</v>
      </c>
      <c r="W57" s="23">
        <f t="shared" si="101"/>
        <v>11.384826049999987</v>
      </c>
      <c r="X57" s="23">
        <f t="shared" si="101"/>
        <v>10.933941849999988</v>
      </c>
      <c r="Y57" s="23">
        <f t="shared" si="101"/>
        <v>10.483057649999985</v>
      </c>
      <c r="Z57" s="23">
        <f t="shared" si="101"/>
        <v>10.032173449999988</v>
      </c>
      <c r="AA57" s="23">
        <f t="shared" si="101"/>
        <v>9.5812892499999869</v>
      </c>
      <c r="AB57" s="23">
        <f t="shared" si="101"/>
        <v>9.1304050499999878</v>
      </c>
      <c r="AC57" s="23">
        <f t="shared" si="101"/>
        <v>8.679520849999987</v>
      </c>
      <c r="AD57" s="23">
        <f t="shared" si="101"/>
        <v>8.2286366499999897</v>
      </c>
      <c r="AE57" s="23">
        <f t="shared" si="101"/>
        <v>7.777752449999987</v>
      </c>
      <c r="AF57" s="23">
        <f t="shared" si="101"/>
        <v>7.3268682499999871</v>
      </c>
      <c r="AG57" s="23">
        <f t="shared" si="101"/>
        <v>6.8759840499999889</v>
      </c>
      <c r="AH57" s="23">
        <f t="shared" si="101"/>
        <v>6.4250998499999881</v>
      </c>
      <c r="AI57" s="23">
        <f t="shared" si="101"/>
        <v>5.9742156499999881</v>
      </c>
      <c r="AJ57" s="23">
        <f t="shared" si="101"/>
        <v>5.523331449999989</v>
      </c>
      <c r="AK57" s="23">
        <f t="shared" si="101"/>
        <v>5.0724472499999891</v>
      </c>
      <c r="AL57" s="23">
        <f t="shared" si="101"/>
        <v>4.6215630499999882</v>
      </c>
      <c r="AM57" s="23">
        <f t="shared" si="101"/>
        <v>4.1706788499999892</v>
      </c>
      <c r="AN57" s="23">
        <f t="shared" si="101"/>
        <v>3.7197946499999888</v>
      </c>
      <c r="AO57" s="23">
        <f t="shared" si="101"/>
        <v>3.2689104499999893</v>
      </c>
      <c r="AP57" s="23">
        <f t="shared" si="101"/>
        <v>2.8180262499999893</v>
      </c>
      <c r="AQ57" s="23">
        <f t="shared" si="101"/>
        <v>2.3671420499999893</v>
      </c>
      <c r="AR57" s="23">
        <f t="shared" si="101"/>
        <v>1.9162578499999896</v>
      </c>
      <c r="AS57" s="23">
        <f t="shared" si="101"/>
        <v>1.4653736499999894</v>
      </c>
      <c r="AT57" s="23">
        <f t="shared" si="101"/>
        <v>1.0144894499999895</v>
      </c>
      <c r="AU57" s="23">
        <f t="shared" si="101"/>
        <v>0.61996577499998928</v>
      </c>
      <c r="AV57" s="23">
        <f t="shared" ref="AV57" si="102">AV33</f>
        <v>0.33816314999999192</v>
      </c>
      <c r="AW57"/>
    </row>
    <row r="58" spans="1:49" s="5" customFormat="1" ht="12" customHeight="1" x14ac:dyDescent="0.2">
      <c r="A58" s="27" t="s">
        <v>42</v>
      </c>
      <c r="C58" s="33">
        <f>C74</f>
        <v>27.053052000000005</v>
      </c>
      <c r="D58" s="33">
        <f t="shared" ref="D58:AU58" si="103">D74</f>
        <v>51.941859840000006</v>
      </c>
      <c r="E58" s="33">
        <f t="shared" si="103"/>
        <v>47.786511052800009</v>
      </c>
      <c r="F58" s="33">
        <f t="shared" si="103"/>
        <v>43.963590168576005</v>
      </c>
      <c r="G58" s="33">
        <f t="shared" si="103"/>
        <v>40.446502955089926</v>
      </c>
      <c r="H58" s="33">
        <f t="shared" si="103"/>
        <v>37.210782718682729</v>
      </c>
      <c r="I58" s="33">
        <f t="shared" si="103"/>
        <v>34.233920101188112</v>
      </c>
      <c r="J58" s="33">
        <f t="shared" si="103"/>
        <v>31.495206493093065</v>
      </c>
      <c r="K58" s="33">
        <f t="shared" si="103"/>
        <v>28.975589973645619</v>
      </c>
      <c r="L58" s="33">
        <f t="shared" si="103"/>
        <v>26.657542775753967</v>
      </c>
      <c r="M58" s="33">
        <f t="shared" si="103"/>
        <v>24.524939353693654</v>
      </c>
      <c r="N58" s="33">
        <f t="shared" si="103"/>
        <v>22.562944205398164</v>
      </c>
      <c r="O58" s="33">
        <f t="shared" si="103"/>
        <v>20.757908668966312</v>
      </c>
      <c r="P58" s="33">
        <f t="shared" si="103"/>
        <v>19.097275975449005</v>
      </c>
      <c r="Q58" s="33">
        <f t="shared" si="103"/>
        <v>17.569493897413086</v>
      </c>
      <c r="R58" s="33">
        <f t="shared" si="103"/>
        <v>16.163934385620038</v>
      </c>
      <c r="S58" s="33">
        <f t="shared" si="103"/>
        <v>14.870819634770438</v>
      </c>
      <c r="T58" s="33">
        <f t="shared" si="103"/>
        <v>13.681154063988801</v>
      </c>
      <c r="U58" s="33">
        <f t="shared" si="103"/>
        <v>12.586661738869697</v>
      </c>
      <c r="V58" s="33">
        <f t="shared" si="103"/>
        <v>11.579728799760121</v>
      </c>
      <c r="W58" s="33">
        <f t="shared" si="103"/>
        <v>10.653350495779312</v>
      </c>
      <c r="X58" s="33">
        <f t="shared" si="103"/>
        <v>9.8010824561169674</v>
      </c>
      <c r="Y58" s="33">
        <f t="shared" si="103"/>
        <v>9.0169958596276096</v>
      </c>
      <c r="Z58" s="33">
        <f t="shared" si="103"/>
        <v>8.295636190857401</v>
      </c>
      <c r="AA58" s="33">
        <f t="shared" si="103"/>
        <v>7.6319852955888088</v>
      </c>
      <c r="AB58" s="33">
        <f t="shared" si="103"/>
        <v>7.0214264719417043</v>
      </c>
      <c r="AC58" s="33">
        <f t="shared" si="103"/>
        <v>6.4597123541863679</v>
      </c>
      <c r="AD58" s="33">
        <f t="shared" si="103"/>
        <v>5.9429353658514588</v>
      </c>
      <c r="AE58" s="33">
        <f t="shared" si="103"/>
        <v>5.4675005365833425</v>
      </c>
      <c r="AF58" s="33">
        <f t="shared" si="103"/>
        <v>5.0301004936566747</v>
      </c>
      <c r="AG58" s="33">
        <f t="shared" si="103"/>
        <v>4.6276924541641407</v>
      </c>
      <c r="AH58" s="33">
        <f t="shared" si="103"/>
        <v>4.257477057831009</v>
      </c>
      <c r="AI58" s="33">
        <f t="shared" si="103"/>
        <v>3.9168788932045282</v>
      </c>
      <c r="AJ58" s="33">
        <f t="shared" si="103"/>
        <v>3.6035285817481664</v>
      </c>
      <c r="AK58" s="33">
        <f t="shared" si="103"/>
        <v>3.315246295208313</v>
      </c>
      <c r="AL58" s="33">
        <f t="shared" si="103"/>
        <v>3.050026591591648</v>
      </c>
      <c r="AM58" s="33">
        <f t="shared" si="103"/>
        <v>2.8060244642643166</v>
      </c>
      <c r="AN58" s="33">
        <f t="shared" si="103"/>
        <v>2.5815425071231708</v>
      </c>
      <c r="AO58" s="33">
        <f t="shared" si="103"/>
        <v>2.3750191065533173</v>
      </c>
      <c r="AP58" s="33">
        <f t="shared" si="103"/>
        <v>2.1850175780290519</v>
      </c>
      <c r="AQ58" s="33">
        <f t="shared" si="103"/>
        <v>2.0102161717867277</v>
      </c>
      <c r="AR58" s="33">
        <f t="shared" si="103"/>
        <v>1.8493988780437898</v>
      </c>
      <c r="AS58" s="33">
        <f t="shared" si="103"/>
        <v>1.7014469678002866</v>
      </c>
      <c r="AT58" s="33">
        <f t="shared" si="103"/>
        <v>1.5653312103762635</v>
      </c>
      <c r="AU58" s="33">
        <f t="shared" si="103"/>
        <v>1.4401047135461624</v>
      </c>
      <c r="AV58" s="33">
        <f t="shared" ref="AV58" si="104">AV74</f>
        <v>1.3248963364624695</v>
      </c>
      <c r="AW58"/>
    </row>
    <row r="59" spans="1:49" s="5" customFormat="1" x14ac:dyDescent="0.2">
      <c r="A59" s="27" t="s">
        <v>34</v>
      </c>
      <c r="C59" s="31">
        <f t="shared" ref="C59:AU59" ca="1" si="105">C56-SUM(C57:C58)</f>
        <v>-23.987257258454108</v>
      </c>
      <c r="D59" s="31">
        <f t="shared" ca="1" si="105"/>
        <v>-14.942345951690818</v>
      </c>
      <c r="E59" s="31">
        <f t="shared" ca="1" si="105"/>
        <v>-9.7913751489855017</v>
      </c>
      <c r="F59" s="31">
        <f t="shared" ca="1" si="105"/>
        <v>-5.1221839158106235</v>
      </c>
      <c r="G59" s="31">
        <f t="shared" ca="1" si="105"/>
        <v>-0.89622988660376279</v>
      </c>
      <c r="H59" s="31">
        <f t="shared" ca="1" si="105"/>
        <v>2.9219459149525591</v>
      </c>
      <c r="I59" s="31">
        <f t="shared" ca="1" si="105"/>
        <v>6.3649657470703644</v>
      </c>
      <c r="J59" s="31">
        <f t="shared" ca="1" si="105"/>
        <v>9.462842087304729</v>
      </c>
      <c r="K59" s="31">
        <f t="shared" ca="1" si="105"/>
        <v>12.243186415006342</v>
      </c>
      <c r="L59" s="31">
        <f t="shared" ca="1" si="105"/>
        <v>14.731401291177804</v>
      </c>
      <c r="M59" s="31">
        <f t="shared" ca="1" si="105"/>
        <v>16.950857071941549</v>
      </c>
      <c r="N59" s="31">
        <f t="shared" ca="1" si="105"/>
        <v>18.923054484930184</v>
      </c>
      <c r="O59" s="31">
        <f t="shared" ca="1" si="105"/>
        <v>20.667774199565713</v>
      </c>
      <c r="P59" s="31">
        <f t="shared" ca="1" si="105"/>
        <v>22.203214431716404</v>
      </c>
      <c r="Q59" s="31">
        <f t="shared" ca="1" si="105"/>
        <v>23.546117539981008</v>
      </c>
      <c r="R59" s="31">
        <f t="shared" ca="1" si="105"/>
        <v>24.711886494270452</v>
      </c>
      <c r="S59" s="31">
        <f t="shared" ca="1" si="105"/>
        <v>25.714692026902725</v>
      </c>
      <c r="T59" s="31">
        <f t="shared" ca="1" si="105"/>
        <v>26.567571211610414</v>
      </c>
      <c r="U59" s="31">
        <f t="shared" ca="1" si="105"/>
        <v>27.282518156227475</v>
      </c>
      <c r="V59" s="31">
        <f t="shared" ca="1" si="105"/>
        <v>27.87056743996115</v>
      </c>
      <c r="W59" s="31">
        <f t="shared" ca="1" si="105"/>
        <v>28.341870875682126</v>
      </c>
      <c r="X59" s="31">
        <f t="shared" ca="1" si="105"/>
        <v>28.70576813123143</v>
      </c>
      <c r="Y59" s="31">
        <f t="shared" ca="1" si="105"/>
        <v>28.970851701022763</v>
      </c>
      <c r="Z59" s="31">
        <f t="shared" ca="1" si="105"/>
        <v>29.145026679916789</v>
      </c>
      <c r="AA59" s="31">
        <f t="shared" ca="1" si="105"/>
        <v>29.235565755185284</v>
      </c>
      <c r="AB59" s="31">
        <f t="shared" ca="1" si="105"/>
        <v>29.249159799118285</v>
      </c>
      <c r="AC59" s="31">
        <f t="shared" ca="1" si="105"/>
        <v>29.191964414222646</v>
      </c>
      <c r="AD59" s="31">
        <f t="shared" ca="1" si="105"/>
        <v>29.069642754804629</v>
      </c>
      <c r="AE59" s="31">
        <f t="shared" ca="1" si="105"/>
        <v>28.887404922826057</v>
      </c>
      <c r="AF59" s="31">
        <f t="shared" ca="1" si="105"/>
        <v>28.65004421209176</v>
      </c>
      <c r="AG59" s="31">
        <f t="shared" ca="1" si="105"/>
        <v>28.361970452902195</v>
      </c>
      <c r="AH59" s="31">
        <f t="shared" ca="1" si="105"/>
        <v>28.027240689133784</v>
      </c>
      <c r="AI59" s="31">
        <f t="shared" ca="1" si="105"/>
        <v>27.649587401152836</v>
      </c>
      <c r="AJ59" s="31">
        <f t="shared" ca="1" si="105"/>
        <v>27.232444470896365</v>
      </c>
      <c r="AK59" s="31">
        <f t="shared" ca="1" si="105"/>
        <v>26.77897106974639</v>
      </c>
      <c r="AL59" s="31">
        <f t="shared" ca="1" si="105"/>
        <v>26.292073635374408</v>
      </c>
      <c r="AM59" s="31">
        <f t="shared" ca="1" si="105"/>
        <v>25.774426090438169</v>
      </c>
      <c r="AN59" s="31">
        <f t="shared" ca="1" si="105"/>
        <v>25.22848844378283</v>
      </c>
      <c r="AO59" s="31">
        <f t="shared" ca="1" si="105"/>
        <v>24.656523903545899</v>
      </c>
      <c r="AP59" s="31">
        <f t="shared" ca="1" si="105"/>
        <v>24.060614621213915</v>
      </c>
      <c r="AQ59" s="31">
        <f t="shared" ca="1" si="105"/>
        <v>23.442676176154489</v>
      </c>
      <c r="AR59" s="31">
        <f t="shared" ca="1" si="105"/>
        <v>22.804470901385798</v>
      </c>
      <c r="AS59" s="31">
        <f t="shared" ca="1" si="105"/>
        <v>22.147620143284591</v>
      </c>
      <c r="AT59" s="31">
        <f t="shared" ca="1" si="105"/>
        <v>21.473615540517475</v>
      </c>
      <c r="AU59" s="31">
        <f t="shared" ca="1" si="105"/>
        <v>20.892738627710855</v>
      </c>
      <c r="AV59" s="31">
        <f t="shared" ref="AV59" ca="1" si="106">AV56-SUM(AV57:AV58)</f>
        <v>15.069699802228293</v>
      </c>
      <c r="AW59"/>
    </row>
    <row r="60" spans="1:49" s="5" customFormat="1" x14ac:dyDescent="0.2">
      <c r="A60" s="27" t="s">
        <v>107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/>
    </row>
    <row r="61" spans="1:49" s="5" customFormat="1" x14ac:dyDescent="0.2">
      <c r="A61" s="27" t="s">
        <v>108</v>
      </c>
      <c r="C61" s="31">
        <f t="shared" ref="C61:AU61" ca="1" si="107">C59-C60</f>
        <v>-23.987257258454108</v>
      </c>
      <c r="D61" s="31">
        <f t="shared" ca="1" si="107"/>
        <v>-14.942345951690818</v>
      </c>
      <c r="E61" s="31">
        <f t="shared" ca="1" si="107"/>
        <v>-9.7913751489855017</v>
      </c>
      <c r="F61" s="31">
        <f t="shared" ca="1" si="107"/>
        <v>-5.1221839158106235</v>
      </c>
      <c r="G61" s="31">
        <f t="shared" ca="1" si="107"/>
        <v>-0.89622988660376279</v>
      </c>
      <c r="H61" s="31">
        <f t="shared" ca="1" si="107"/>
        <v>2.9219459149525591</v>
      </c>
      <c r="I61" s="31">
        <f t="shared" ca="1" si="107"/>
        <v>6.3649657470703644</v>
      </c>
      <c r="J61" s="31">
        <f t="shared" ca="1" si="107"/>
        <v>9.462842087304729</v>
      </c>
      <c r="K61" s="31">
        <f t="shared" ca="1" si="107"/>
        <v>12.243186415006342</v>
      </c>
      <c r="L61" s="31">
        <f t="shared" ca="1" si="107"/>
        <v>14.731401291177804</v>
      </c>
      <c r="M61" s="31">
        <f t="shared" ca="1" si="107"/>
        <v>16.950857071941549</v>
      </c>
      <c r="N61" s="31">
        <f t="shared" ca="1" si="107"/>
        <v>18.923054484930184</v>
      </c>
      <c r="O61" s="31">
        <f t="shared" ca="1" si="107"/>
        <v>20.667774199565713</v>
      </c>
      <c r="P61" s="31">
        <f t="shared" ca="1" si="107"/>
        <v>22.203214431716404</v>
      </c>
      <c r="Q61" s="31">
        <f t="shared" ca="1" si="107"/>
        <v>23.546117539981008</v>
      </c>
      <c r="R61" s="31">
        <f t="shared" ca="1" si="107"/>
        <v>24.711886494270452</v>
      </c>
      <c r="S61" s="31">
        <f t="shared" ca="1" si="107"/>
        <v>25.714692026902725</v>
      </c>
      <c r="T61" s="31">
        <f t="shared" ca="1" si="107"/>
        <v>26.567571211610414</v>
      </c>
      <c r="U61" s="31">
        <f t="shared" ca="1" si="107"/>
        <v>27.282518156227475</v>
      </c>
      <c r="V61" s="31">
        <f t="shared" ca="1" si="107"/>
        <v>27.87056743996115</v>
      </c>
      <c r="W61" s="31">
        <f t="shared" ca="1" si="107"/>
        <v>28.341870875682126</v>
      </c>
      <c r="X61" s="31">
        <f t="shared" ca="1" si="107"/>
        <v>28.70576813123143</v>
      </c>
      <c r="Y61" s="31">
        <f t="shared" ca="1" si="107"/>
        <v>28.970851701022763</v>
      </c>
      <c r="Z61" s="31">
        <f t="shared" ca="1" si="107"/>
        <v>29.145026679916789</v>
      </c>
      <c r="AA61" s="31">
        <f t="shared" ca="1" si="107"/>
        <v>29.235565755185284</v>
      </c>
      <c r="AB61" s="31">
        <f t="shared" ca="1" si="107"/>
        <v>29.249159799118285</v>
      </c>
      <c r="AC61" s="31">
        <f t="shared" ca="1" si="107"/>
        <v>29.191964414222646</v>
      </c>
      <c r="AD61" s="31">
        <f t="shared" ca="1" si="107"/>
        <v>29.069642754804629</v>
      </c>
      <c r="AE61" s="31">
        <f t="shared" ca="1" si="107"/>
        <v>28.887404922826057</v>
      </c>
      <c r="AF61" s="31">
        <f t="shared" ca="1" si="107"/>
        <v>28.65004421209176</v>
      </c>
      <c r="AG61" s="31">
        <f t="shared" ca="1" si="107"/>
        <v>28.361970452902195</v>
      </c>
      <c r="AH61" s="31">
        <f t="shared" ca="1" si="107"/>
        <v>28.027240689133784</v>
      </c>
      <c r="AI61" s="31">
        <f t="shared" ca="1" si="107"/>
        <v>27.649587401152836</v>
      </c>
      <c r="AJ61" s="31">
        <f t="shared" ca="1" si="107"/>
        <v>27.232444470896365</v>
      </c>
      <c r="AK61" s="31">
        <f t="shared" ca="1" si="107"/>
        <v>26.77897106974639</v>
      </c>
      <c r="AL61" s="31">
        <f t="shared" ca="1" si="107"/>
        <v>26.292073635374408</v>
      </c>
      <c r="AM61" s="31">
        <f t="shared" ca="1" si="107"/>
        <v>25.774426090438169</v>
      </c>
      <c r="AN61" s="31">
        <f t="shared" ca="1" si="107"/>
        <v>25.22848844378283</v>
      </c>
      <c r="AO61" s="31">
        <f t="shared" ca="1" si="107"/>
        <v>24.656523903545899</v>
      </c>
      <c r="AP61" s="31">
        <f t="shared" ca="1" si="107"/>
        <v>24.060614621213915</v>
      </c>
      <c r="AQ61" s="31">
        <f t="shared" ca="1" si="107"/>
        <v>23.442676176154489</v>
      </c>
      <c r="AR61" s="31">
        <f t="shared" ca="1" si="107"/>
        <v>22.804470901385798</v>
      </c>
      <c r="AS61" s="31">
        <f t="shared" ca="1" si="107"/>
        <v>22.147620143284591</v>
      </c>
      <c r="AT61" s="31">
        <f t="shared" ca="1" si="107"/>
        <v>21.473615540517475</v>
      </c>
      <c r="AU61" s="31">
        <f t="shared" ca="1" si="107"/>
        <v>20.892738627710855</v>
      </c>
      <c r="AV61" s="31">
        <f t="shared" ref="AV61" ca="1" si="108">AV59-AV60</f>
        <v>15.069699802228293</v>
      </c>
      <c r="AW61"/>
    </row>
    <row r="62" spans="1:49" s="5" customFormat="1" x14ac:dyDescent="0.2">
      <c r="A62" s="27" t="s">
        <v>7</v>
      </c>
      <c r="C62" s="29">
        <f t="shared" ref="C62:AU62" si="109">C19</f>
        <v>0.31</v>
      </c>
      <c r="D62" s="29">
        <f t="shared" si="109"/>
        <v>0.31</v>
      </c>
      <c r="E62" s="29">
        <f t="shared" si="109"/>
        <v>0.31</v>
      </c>
      <c r="F62" s="29">
        <f t="shared" si="109"/>
        <v>0.31</v>
      </c>
      <c r="G62" s="29">
        <f t="shared" si="109"/>
        <v>0.31</v>
      </c>
      <c r="H62" s="29">
        <f t="shared" si="109"/>
        <v>0.31</v>
      </c>
      <c r="I62" s="29">
        <f t="shared" si="109"/>
        <v>0.31</v>
      </c>
      <c r="J62" s="29">
        <f t="shared" si="109"/>
        <v>0.31</v>
      </c>
      <c r="K62" s="29">
        <f t="shared" si="109"/>
        <v>0.31</v>
      </c>
      <c r="L62" s="29">
        <f t="shared" si="109"/>
        <v>0.31</v>
      </c>
      <c r="M62" s="29">
        <f t="shared" si="109"/>
        <v>0.31</v>
      </c>
      <c r="N62" s="29">
        <f t="shared" si="109"/>
        <v>0.31</v>
      </c>
      <c r="O62" s="29">
        <f t="shared" si="109"/>
        <v>0.31</v>
      </c>
      <c r="P62" s="29">
        <f t="shared" si="109"/>
        <v>0.31</v>
      </c>
      <c r="Q62" s="29">
        <f t="shared" si="109"/>
        <v>0.31</v>
      </c>
      <c r="R62" s="29">
        <f t="shared" si="109"/>
        <v>0.31</v>
      </c>
      <c r="S62" s="29">
        <f t="shared" si="109"/>
        <v>0.31</v>
      </c>
      <c r="T62" s="29">
        <f t="shared" si="109"/>
        <v>0.31</v>
      </c>
      <c r="U62" s="29">
        <f t="shared" si="109"/>
        <v>0.31</v>
      </c>
      <c r="V62" s="29">
        <f t="shared" si="109"/>
        <v>0.31</v>
      </c>
      <c r="W62" s="29">
        <f t="shared" si="109"/>
        <v>0.31</v>
      </c>
      <c r="X62" s="29">
        <f t="shared" si="109"/>
        <v>0.31</v>
      </c>
      <c r="Y62" s="29">
        <f t="shared" si="109"/>
        <v>0.31</v>
      </c>
      <c r="Z62" s="29">
        <f t="shared" si="109"/>
        <v>0.31</v>
      </c>
      <c r="AA62" s="29">
        <f t="shared" si="109"/>
        <v>0.31</v>
      </c>
      <c r="AB62" s="29">
        <f t="shared" si="109"/>
        <v>0.31</v>
      </c>
      <c r="AC62" s="29">
        <f t="shared" si="109"/>
        <v>0.31</v>
      </c>
      <c r="AD62" s="29">
        <f t="shared" si="109"/>
        <v>0.31</v>
      </c>
      <c r="AE62" s="29">
        <f t="shared" si="109"/>
        <v>0.31</v>
      </c>
      <c r="AF62" s="29">
        <f t="shared" si="109"/>
        <v>0.31</v>
      </c>
      <c r="AG62" s="29">
        <f t="shared" si="109"/>
        <v>0.31</v>
      </c>
      <c r="AH62" s="29">
        <f t="shared" si="109"/>
        <v>0.31</v>
      </c>
      <c r="AI62" s="29">
        <f t="shared" si="109"/>
        <v>0.31</v>
      </c>
      <c r="AJ62" s="29">
        <f t="shared" si="109"/>
        <v>0.31</v>
      </c>
      <c r="AK62" s="29">
        <f t="shared" si="109"/>
        <v>0.31</v>
      </c>
      <c r="AL62" s="29">
        <f t="shared" si="109"/>
        <v>0.31</v>
      </c>
      <c r="AM62" s="29">
        <f t="shared" si="109"/>
        <v>0.31</v>
      </c>
      <c r="AN62" s="29">
        <f t="shared" si="109"/>
        <v>0.31</v>
      </c>
      <c r="AO62" s="29">
        <f t="shared" si="109"/>
        <v>0.31</v>
      </c>
      <c r="AP62" s="29">
        <f t="shared" si="109"/>
        <v>0.31</v>
      </c>
      <c r="AQ62" s="29">
        <f t="shared" si="109"/>
        <v>0.31</v>
      </c>
      <c r="AR62" s="29">
        <f t="shared" si="109"/>
        <v>0.31</v>
      </c>
      <c r="AS62" s="29">
        <f t="shared" si="109"/>
        <v>0.31</v>
      </c>
      <c r="AT62" s="29">
        <f t="shared" si="109"/>
        <v>0.31</v>
      </c>
      <c r="AU62" s="29">
        <f t="shared" si="109"/>
        <v>0.31</v>
      </c>
      <c r="AV62" s="29">
        <f t="shared" ref="AV62" si="110">AV19</f>
        <v>0.31</v>
      </c>
      <c r="AW62"/>
    </row>
    <row r="63" spans="1:49" s="18" customFormat="1" x14ac:dyDescent="0.2">
      <c r="A63" s="30" t="s">
        <v>61</v>
      </c>
      <c r="C63" s="42">
        <f t="shared" ref="C63:AU63" ca="1" si="111">C61*C62</f>
        <v>-7.4360497501207732</v>
      </c>
      <c r="D63" s="42">
        <f t="shared" ca="1" si="111"/>
        <v>-4.6321272450241535</v>
      </c>
      <c r="E63" s="42">
        <f t="shared" ca="1" si="111"/>
        <v>-3.0353262961855054</v>
      </c>
      <c r="F63" s="42">
        <f t="shared" ca="1" si="111"/>
        <v>-1.5878770139012932</v>
      </c>
      <c r="G63" s="42">
        <f t="shared" ca="1" si="111"/>
        <v>-0.27783126484716647</v>
      </c>
      <c r="H63" s="42">
        <f t="shared" ca="1" si="111"/>
        <v>0.90580323363529336</v>
      </c>
      <c r="I63" s="42">
        <f t="shared" ca="1" si="111"/>
        <v>1.973139381591813</v>
      </c>
      <c r="J63" s="42">
        <f t="shared" ca="1" si="111"/>
        <v>2.9334810470644661</v>
      </c>
      <c r="K63" s="42">
        <f t="shared" ca="1" si="111"/>
        <v>3.7953877886519658</v>
      </c>
      <c r="L63" s="42">
        <f t="shared" ca="1" si="111"/>
        <v>4.5667344002651191</v>
      </c>
      <c r="M63" s="42">
        <f t="shared" ca="1" si="111"/>
        <v>5.2547656923018797</v>
      </c>
      <c r="N63" s="42">
        <f t="shared" ca="1" si="111"/>
        <v>5.8661468903283565</v>
      </c>
      <c r="O63" s="42">
        <f t="shared" ca="1" si="111"/>
        <v>6.4070100018653706</v>
      </c>
      <c r="P63" s="42">
        <f t="shared" ca="1" si="111"/>
        <v>6.882996473832085</v>
      </c>
      <c r="Q63" s="42">
        <f t="shared" ca="1" si="111"/>
        <v>7.299296437394112</v>
      </c>
      <c r="R63" s="42">
        <f t="shared" ca="1" si="111"/>
        <v>7.6606848132238401</v>
      </c>
      <c r="S63" s="42">
        <f t="shared" ca="1" si="111"/>
        <v>7.971554528339845</v>
      </c>
      <c r="T63" s="42">
        <f t="shared" ca="1" si="111"/>
        <v>8.2359470755992277</v>
      </c>
      <c r="U63" s="42">
        <f t="shared" ca="1" si="111"/>
        <v>8.4575806284305166</v>
      </c>
      <c r="V63" s="42">
        <f t="shared" ca="1" si="111"/>
        <v>8.6398759063879567</v>
      </c>
      <c r="W63" s="42">
        <f t="shared" ca="1" si="111"/>
        <v>8.7859799714614581</v>
      </c>
      <c r="X63" s="42">
        <f t="shared" ca="1" si="111"/>
        <v>8.8987881206817434</v>
      </c>
      <c r="Y63" s="42">
        <f t="shared" ca="1" si="111"/>
        <v>8.9809640273170572</v>
      </c>
      <c r="Z63" s="42">
        <f t="shared" ca="1" si="111"/>
        <v>9.0349582707742044</v>
      </c>
      <c r="AA63" s="42">
        <f t="shared" ca="1" si="111"/>
        <v>9.0630253841074389</v>
      </c>
      <c r="AB63" s="42">
        <f t="shared" ca="1" si="111"/>
        <v>9.0672395377266675</v>
      </c>
      <c r="AC63" s="42">
        <f t="shared" ca="1" si="111"/>
        <v>9.04950896840902</v>
      </c>
      <c r="AD63" s="42">
        <f t="shared" ca="1" si="111"/>
        <v>9.0115892539894347</v>
      </c>
      <c r="AE63" s="42">
        <f t="shared" ca="1" si="111"/>
        <v>8.955095526076077</v>
      </c>
      <c r="AF63" s="42">
        <f t="shared" ca="1" si="111"/>
        <v>8.8815137057484463</v>
      </c>
      <c r="AG63" s="42">
        <f t="shared" ca="1" si="111"/>
        <v>8.7922108403996813</v>
      </c>
      <c r="AH63" s="42">
        <f t="shared" ca="1" si="111"/>
        <v>8.6884446136314732</v>
      </c>
      <c r="AI63" s="42">
        <f t="shared" ca="1" si="111"/>
        <v>8.571372094357379</v>
      </c>
      <c r="AJ63" s="42">
        <f t="shared" ca="1" si="111"/>
        <v>8.4420577859778732</v>
      </c>
      <c r="AK63" s="42">
        <f t="shared" ca="1" si="111"/>
        <v>8.3014810316213801</v>
      </c>
      <c r="AL63" s="42">
        <f t="shared" ca="1" si="111"/>
        <v>8.1505428269660669</v>
      </c>
      <c r="AM63" s="42">
        <f t="shared" ca="1" si="111"/>
        <v>7.9900720880358325</v>
      </c>
      <c r="AN63" s="42">
        <f t="shared" ca="1" si="111"/>
        <v>7.820831417572677</v>
      </c>
      <c r="AO63" s="42">
        <f t="shared" ca="1" si="111"/>
        <v>7.6435224100992292</v>
      </c>
      <c r="AP63" s="42">
        <f t="shared" ca="1" si="111"/>
        <v>7.4587905325763133</v>
      </c>
      <c r="AQ63" s="42">
        <f t="shared" ca="1" si="111"/>
        <v>7.2672296146078912</v>
      </c>
      <c r="AR63" s="42">
        <f t="shared" ca="1" si="111"/>
        <v>7.0693859794295975</v>
      </c>
      <c r="AS63" s="42">
        <f t="shared" ca="1" si="111"/>
        <v>6.8657622444182236</v>
      </c>
      <c r="AT63" s="42">
        <f t="shared" ca="1" si="111"/>
        <v>6.6568208175604173</v>
      </c>
      <c r="AU63" s="42">
        <f t="shared" ca="1" si="111"/>
        <v>6.4767489745903655</v>
      </c>
      <c r="AV63" s="42">
        <f t="shared" ref="AV63" ca="1" si="112">AV61*AV62</f>
        <v>4.671606938690771</v>
      </c>
      <c r="AW63"/>
    </row>
    <row r="64" spans="1:49" s="5" customFormat="1" x14ac:dyDescent="0.2">
      <c r="A64" s="4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/>
    </row>
    <row r="65" spans="1:49" s="5" customFormat="1" x14ac:dyDescent="0.2">
      <c r="A65" s="22" t="s">
        <v>35</v>
      </c>
      <c r="AW65"/>
    </row>
    <row r="66" spans="1:49" s="5" customFormat="1" x14ac:dyDescent="0.2">
      <c r="A66" s="27" t="s">
        <v>21</v>
      </c>
      <c r="B66" s="17"/>
      <c r="C66" s="17">
        <f t="shared" ref="C66:AV66" si="113">B69</f>
        <v>0</v>
      </c>
      <c r="D66" s="17">
        <f t="shared" ca="1" si="113"/>
        <v>23.987257258454108</v>
      </c>
      <c r="E66" s="17">
        <f t="shared" ca="1" si="113"/>
        <v>38.929603210144926</v>
      </c>
      <c r="F66" s="17">
        <f t="shared" ca="1" si="113"/>
        <v>48.720978359130427</v>
      </c>
      <c r="G66" s="17">
        <f t="shared" ca="1" si="113"/>
        <v>53.843162274941051</v>
      </c>
      <c r="H66" s="17">
        <f t="shared" ca="1" si="113"/>
        <v>54.739392161544814</v>
      </c>
      <c r="I66" s="17">
        <f t="shared" ca="1" si="113"/>
        <v>51.817446246592255</v>
      </c>
      <c r="J66" s="17">
        <f t="shared" ca="1" si="113"/>
        <v>45.45248049952189</v>
      </c>
      <c r="K66" s="17">
        <f t="shared" ca="1" si="113"/>
        <v>35.989638412217161</v>
      </c>
      <c r="L66" s="17">
        <f t="shared" ca="1" si="113"/>
        <v>23.746451997210819</v>
      </c>
      <c r="M66" s="17">
        <f t="shared" ca="1" si="113"/>
        <v>9.0150507060330156</v>
      </c>
      <c r="N66" s="17">
        <f t="shared" ca="1" si="113"/>
        <v>0</v>
      </c>
      <c r="O66" s="17">
        <f t="shared" ca="1" si="113"/>
        <v>0</v>
      </c>
      <c r="P66" s="17">
        <f t="shared" ca="1" si="113"/>
        <v>0</v>
      </c>
      <c r="Q66" s="17">
        <f t="shared" ca="1" si="113"/>
        <v>0</v>
      </c>
      <c r="R66" s="17">
        <f t="shared" ca="1" si="113"/>
        <v>0</v>
      </c>
      <c r="S66" s="17">
        <f t="shared" ca="1" si="113"/>
        <v>0</v>
      </c>
      <c r="T66" s="17">
        <f t="shared" ca="1" si="113"/>
        <v>0</v>
      </c>
      <c r="U66" s="17">
        <f t="shared" ca="1" si="113"/>
        <v>0</v>
      </c>
      <c r="V66" s="17">
        <f t="shared" ca="1" si="113"/>
        <v>0</v>
      </c>
      <c r="W66" s="17">
        <f t="shared" ca="1" si="113"/>
        <v>0</v>
      </c>
      <c r="X66" s="17">
        <f t="shared" ca="1" si="113"/>
        <v>0</v>
      </c>
      <c r="Y66" s="17">
        <f t="shared" ca="1" si="113"/>
        <v>0</v>
      </c>
      <c r="Z66" s="17">
        <f t="shared" ca="1" si="113"/>
        <v>0</v>
      </c>
      <c r="AA66" s="17">
        <f t="shared" ca="1" si="113"/>
        <v>0</v>
      </c>
      <c r="AB66" s="17">
        <f t="shared" ca="1" si="113"/>
        <v>0</v>
      </c>
      <c r="AC66" s="17">
        <f t="shared" ca="1" si="113"/>
        <v>0</v>
      </c>
      <c r="AD66" s="17">
        <f t="shared" ca="1" si="113"/>
        <v>0</v>
      </c>
      <c r="AE66" s="17">
        <f t="shared" ca="1" si="113"/>
        <v>0</v>
      </c>
      <c r="AF66" s="17">
        <f t="shared" ca="1" si="113"/>
        <v>0</v>
      </c>
      <c r="AG66" s="17">
        <f t="shared" ca="1" si="113"/>
        <v>0</v>
      </c>
      <c r="AH66" s="17">
        <f t="shared" ca="1" si="113"/>
        <v>0</v>
      </c>
      <c r="AI66" s="17">
        <f t="shared" ca="1" si="113"/>
        <v>0</v>
      </c>
      <c r="AJ66" s="17">
        <f t="shared" ca="1" si="113"/>
        <v>0</v>
      </c>
      <c r="AK66" s="17">
        <f t="shared" ca="1" si="113"/>
        <v>0</v>
      </c>
      <c r="AL66" s="17">
        <f t="shared" ca="1" si="113"/>
        <v>0</v>
      </c>
      <c r="AM66" s="17">
        <f t="shared" ca="1" si="113"/>
        <v>0</v>
      </c>
      <c r="AN66" s="17">
        <f t="shared" ca="1" si="113"/>
        <v>0</v>
      </c>
      <c r="AO66" s="17">
        <f t="shared" ca="1" si="113"/>
        <v>0</v>
      </c>
      <c r="AP66" s="17">
        <f t="shared" ca="1" si="113"/>
        <v>0</v>
      </c>
      <c r="AQ66" s="17">
        <f t="shared" ca="1" si="113"/>
        <v>0</v>
      </c>
      <c r="AR66" s="17">
        <f t="shared" ca="1" si="113"/>
        <v>0</v>
      </c>
      <c r="AS66" s="17">
        <f t="shared" ca="1" si="113"/>
        <v>0</v>
      </c>
      <c r="AT66" s="17">
        <f t="shared" ca="1" si="113"/>
        <v>0</v>
      </c>
      <c r="AU66" s="17">
        <f t="shared" ca="1" si="113"/>
        <v>0</v>
      </c>
      <c r="AV66" s="17">
        <f t="shared" ca="1" si="113"/>
        <v>0</v>
      </c>
      <c r="AW66"/>
    </row>
    <row r="67" spans="1:49" s="5" customFormat="1" x14ac:dyDescent="0.2">
      <c r="A67" s="27" t="s">
        <v>32</v>
      </c>
      <c r="C67" s="17">
        <f t="shared" ref="C67:AU67" ca="1" si="114">-IF(C59&lt;0,C59,0)</f>
        <v>23.987257258454108</v>
      </c>
      <c r="D67" s="17">
        <f t="shared" ca="1" si="114"/>
        <v>14.942345951690818</v>
      </c>
      <c r="E67" s="17">
        <f t="shared" ca="1" si="114"/>
        <v>9.7913751489855017</v>
      </c>
      <c r="F67" s="17">
        <f t="shared" ca="1" si="114"/>
        <v>5.1221839158106235</v>
      </c>
      <c r="G67" s="17">
        <f t="shared" ca="1" si="114"/>
        <v>0.89622988660376279</v>
      </c>
      <c r="H67" s="17">
        <f t="shared" ca="1" si="114"/>
        <v>0</v>
      </c>
      <c r="I67" s="17">
        <f t="shared" ca="1" si="114"/>
        <v>0</v>
      </c>
      <c r="J67" s="17">
        <f t="shared" ca="1" si="114"/>
        <v>0</v>
      </c>
      <c r="K67" s="17">
        <f t="shared" ca="1" si="114"/>
        <v>0</v>
      </c>
      <c r="L67" s="17">
        <f t="shared" ca="1" si="114"/>
        <v>0</v>
      </c>
      <c r="M67" s="17">
        <f t="shared" ca="1" si="114"/>
        <v>0</v>
      </c>
      <c r="N67" s="17">
        <f t="shared" ca="1" si="114"/>
        <v>0</v>
      </c>
      <c r="O67" s="17">
        <f t="shared" ca="1" si="114"/>
        <v>0</v>
      </c>
      <c r="P67" s="17">
        <f t="shared" ca="1" si="114"/>
        <v>0</v>
      </c>
      <c r="Q67" s="17">
        <f t="shared" ca="1" si="114"/>
        <v>0</v>
      </c>
      <c r="R67" s="17">
        <f t="shared" ca="1" si="114"/>
        <v>0</v>
      </c>
      <c r="S67" s="17">
        <f t="shared" ca="1" si="114"/>
        <v>0</v>
      </c>
      <c r="T67" s="17">
        <f t="shared" ca="1" si="114"/>
        <v>0</v>
      </c>
      <c r="U67" s="17">
        <f t="shared" ca="1" si="114"/>
        <v>0</v>
      </c>
      <c r="V67" s="17">
        <f t="shared" ca="1" si="114"/>
        <v>0</v>
      </c>
      <c r="W67" s="17">
        <f t="shared" ca="1" si="114"/>
        <v>0</v>
      </c>
      <c r="X67" s="17">
        <f t="shared" ca="1" si="114"/>
        <v>0</v>
      </c>
      <c r="Y67" s="17">
        <f t="shared" ca="1" si="114"/>
        <v>0</v>
      </c>
      <c r="Z67" s="17">
        <f t="shared" ca="1" si="114"/>
        <v>0</v>
      </c>
      <c r="AA67" s="17">
        <f t="shared" ca="1" si="114"/>
        <v>0</v>
      </c>
      <c r="AB67" s="17">
        <f t="shared" ca="1" si="114"/>
        <v>0</v>
      </c>
      <c r="AC67" s="17">
        <f t="shared" ca="1" si="114"/>
        <v>0</v>
      </c>
      <c r="AD67" s="17">
        <f t="shared" ca="1" si="114"/>
        <v>0</v>
      </c>
      <c r="AE67" s="17">
        <f t="shared" ca="1" si="114"/>
        <v>0</v>
      </c>
      <c r="AF67" s="17">
        <f t="shared" ca="1" si="114"/>
        <v>0</v>
      </c>
      <c r="AG67" s="17">
        <f t="shared" ca="1" si="114"/>
        <v>0</v>
      </c>
      <c r="AH67" s="17">
        <f t="shared" ca="1" si="114"/>
        <v>0</v>
      </c>
      <c r="AI67" s="17">
        <f t="shared" ca="1" si="114"/>
        <v>0</v>
      </c>
      <c r="AJ67" s="17">
        <f t="shared" ca="1" si="114"/>
        <v>0</v>
      </c>
      <c r="AK67" s="17">
        <f t="shared" ca="1" si="114"/>
        <v>0</v>
      </c>
      <c r="AL67" s="17">
        <f t="shared" ca="1" si="114"/>
        <v>0</v>
      </c>
      <c r="AM67" s="17">
        <f t="shared" ca="1" si="114"/>
        <v>0</v>
      </c>
      <c r="AN67" s="17">
        <f t="shared" ca="1" si="114"/>
        <v>0</v>
      </c>
      <c r="AO67" s="17">
        <f t="shared" ca="1" si="114"/>
        <v>0</v>
      </c>
      <c r="AP67" s="17">
        <f t="shared" ca="1" si="114"/>
        <v>0</v>
      </c>
      <c r="AQ67" s="17">
        <f t="shared" ca="1" si="114"/>
        <v>0</v>
      </c>
      <c r="AR67" s="17">
        <f t="shared" ca="1" si="114"/>
        <v>0</v>
      </c>
      <c r="AS67" s="17">
        <f t="shared" ca="1" si="114"/>
        <v>0</v>
      </c>
      <c r="AT67" s="17">
        <f t="shared" ca="1" si="114"/>
        <v>0</v>
      </c>
      <c r="AU67" s="17">
        <f t="shared" ca="1" si="114"/>
        <v>0</v>
      </c>
      <c r="AV67" s="17">
        <f t="shared" ref="AV67" ca="1" si="115">-IF(AV59&lt;0,AV59,0)</f>
        <v>0</v>
      </c>
      <c r="AW67"/>
    </row>
    <row r="68" spans="1:49" s="5" customFormat="1" x14ac:dyDescent="0.2">
      <c r="A68" s="27" t="s">
        <v>36</v>
      </c>
      <c r="B68" s="34"/>
      <c r="C68" s="28">
        <f t="shared" ref="C68:AU68" ca="1" si="116">IF(C59&gt;0,IF(C66&lt;C59,C66,C59),0)</f>
        <v>0</v>
      </c>
      <c r="D68" s="28">
        <f t="shared" ca="1" si="116"/>
        <v>0</v>
      </c>
      <c r="E68" s="28">
        <f t="shared" ca="1" si="116"/>
        <v>0</v>
      </c>
      <c r="F68" s="28">
        <f t="shared" ca="1" si="116"/>
        <v>0</v>
      </c>
      <c r="G68" s="28">
        <f t="shared" ca="1" si="116"/>
        <v>0</v>
      </c>
      <c r="H68" s="28">
        <f t="shared" ca="1" si="116"/>
        <v>2.9219459149525591</v>
      </c>
      <c r="I68" s="28">
        <f t="shared" ca="1" si="116"/>
        <v>6.3649657470703644</v>
      </c>
      <c r="J68" s="28">
        <f t="shared" ca="1" si="116"/>
        <v>9.462842087304729</v>
      </c>
      <c r="K68" s="28">
        <f t="shared" ca="1" si="116"/>
        <v>12.243186415006342</v>
      </c>
      <c r="L68" s="28">
        <f t="shared" ca="1" si="116"/>
        <v>14.731401291177804</v>
      </c>
      <c r="M68" s="28">
        <f t="shared" ca="1" si="116"/>
        <v>9.0150507060330156</v>
      </c>
      <c r="N68" s="28">
        <f t="shared" ca="1" si="116"/>
        <v>0</v>
      </c>
      <c r="O68" s="28">
        <f t="shared" ca="1" si="116"/>
        <v>0</v>
      </c>
      <c r="P68" s="28">
        <f t="shared" ca="1" si="116"/>
        <v>0</v>
      </c>
      <c r="Q68" s="28">
        <f t="shared" ca="1" si="116"/>
        <v>0</v>
      </c>
      <c r="R68" s="28">
        <f t="shared" ca="1" si="116"/>
        <v>0</v>
      </c>
      <c r="S68" s="28">
        <f t="shared" ca="1" si="116"/>
        <v>0</v>
      </c>
      <c r="T68" s="28">
        <f t="shared" ca="1" si="116"/>
        <v>0</v>
      </c>
      <c r="U68" s="28">
        <f t="shared" ca="1" si="116"/>
        <v>0</v>
      </c>
      <c r="V68" s="28">
        <f t="shared" ca="1" si="116"/>
        <v>0</v>
      </c>
      <c r="W68" s="28">
        <f t="shared" ca="1" si="116"/>
        <v>0</v>
      </c>
      <c r="X68" s="28">
        <f t="shared" ca="1" si="116"/>
        <v>0</v>
      </c>
      <c r="Y68" s="28">
        <f t="shared" ca="1" si="116"/>
        <v>0</v>
      </c>
      <c r="Z68" s="28">
        <f t="shared" ca="1" si="116"/>
        <v>0</v>
      </c>
      <c r="AA68" s="28">
        <f t="shared" ca="1" si="116"/>
        <v>0</v>
      </c>
      <c r="AB68" s="28">
        <f t="shared" ca="1" si="116"/>
        <v>0</v>
      </c>
      <c r="AC68" s="28">
        <f t="shared" ca="1" si="116"/>
        <v>0</v>
      </c>
      <c r="AD68" s="28">
        <f t="shared" ca="1" si="116"/>
        <v>0</v>
      </c>
      <c r="AE68" s="28">
        <f t="shared" ca="1" si="116"/>
        <v>0</v>
      </c>
      <c r="AF68" s="28">
        <f t="shared" ca="1" si="116"/>
        <v>0</v>
      </c>
      <c r="AG68" s="28">
        <f t="shared" ca="1" si="116"/>
        <v>0</v>
      </c>
      <c r="AH68" s="28">
        <f t="shared" ca="1" si="116"/>
        <v>0</v>
      </c>
      <c r="AI68" s="28">
        <f t="shared" ca="1" si="116"/>
        <v>0</v>
      </c>
      <c r="AJ68" s="28">
        <f t="shared" ca="1" si="116"/>
        <v>0</v>
      </c>
      <c r="AK68" s="28">
        <f t="shared" ca="1" si="116"/>
        <v>0</v>
      </c>
      <c r="AL68" s="28">
        <f t="shared" ca="1" si="116"/>
        <v>0</v>
      </c>
      <c r="AM68" s="28">
        <f t="shared" ca="1" si="116"/>
        <v>0</v>
      </c>
      <c r="AN68" s="28">
        <f t="shared" ca="1" si="116"/>
        <v>0</v>
      </c>
      <c r="AO68" s="28">
        <f t="shared" ca="1" si="116"/>
        <v>0</v>
      </c>
      <c r="AP68" s="28">
        <f t="shared" ca="1" si="116"/>
        <v>0</v>
      </c>
      <c r="AQ68" s="28">
        <f t="shared" ca="1" si="116"/>
        <v>0</v>
      </c>
      <c r="AR68" s="28">
        <f t="shared" ca="1" si="116"/>
        <v>0</v>
      </c>
      <c r="AS68" s="28">
        <f t="shared" ca="1" si="116"/>
        <v>0</v>
      </c>
      <c r="AT68" s="28">
        <f t="shared" ca="1" si="116"/>
        <v>0</v>
      </c>
      <c r="AU68" s="28">
        <f t="shared" ca="1" si="116"/>
        <v>0</v>
      </c>
      <c r="AV68" s="28">
        <f t="shared" ref="AV68" ca="1" si="117">IF(AV59&gt;0,IF(AV66&lt;AV59,AV66,AV59),0)</f>
        <v>0</v>
      </c>
      <c r="AW68"/>
    </row>
    <row r="69" spans="1:49" s="5" customFormat="1" x14ac:dyDescent="0.2">
      <c r="A69" s="27" t="s">
        <v>30</v>
      </c>
      <c r="B69" s="17">
        <f>B66-B67</f>
        <v>0</v>
      </c>
      <c r="C69" s="17">
        <f t="shared" ref="C69:AU69" ca="1" si="118">C66+C67-C68</f>
        <v>23.987257258454108</v>
      </c>
      <c r="D69" s="17">
        <f t="shared" ca="1" si="118"/>
        <v>38.929603210144926</v>
      </c>
      <c r="E69" s="17">
        <f t="shared" ca="1" si="118"/>
        <v>48.720978359130427</v>
      </c>
      <c r="F69" s="17">
        <f t="shared" ca="1" si="118"/>
        <v>53.843162274941051</v>
      </c>
      <c r="G69" s="17">
        <f t="shared" ca="1" si="118"/>
        <v>54.739392161544814</v>
      </c>
      <c r="H69" s="17">
        <f t="shared" ca="1" si="118"/>
        <v>51.817446246592255</v>
      </c>
      <c r="I69" s="17">
        <f t="shared" ca="1" si="118"/>
        <v>45.45248049952189</v>
      </c>
      <c r="J69" s="17">
        <f t="shared" ca="1" si="118"/>
        <v>35.989638412217161</v>
      </c>
      <c r="K69" s="17">
        <f t="shared" ca="1" si="118"/>
        <v>23.746451997210819</v>
      </c>
      <c r="L69" s="17">
        <f t="shared" ca="1" si="118"/>
        <v>9.0150507060330156</v>
      </c>
      <c r="M69" s="17">
        <f t="shared" ca="1" si="118"/>
        <v>0</v>
      </c>
      <c r="N69" s="17">
        <f t="shared" ca="1" si="118"/>
        <v>0</v>
      </c>
      <c r="O69" s="17">
        <f t="shared" ca="1" si="118"/>
        <v>0</v>
      </c>
      <c r="P69" s="17">
        <f t="shared" ca="1" si="118"/>
        <v>0</v>
      </c>
      <c r="Q69" s="17">
        <f t="shared" ca="1" si="118"/>
        <v>0</v>
      </c>
      <c r="R69" s="17">
        <f t="shared" ca="1" si="118"/>
        <v>0</v>
      </c>
      <c r="S69" s="17">
        <f t="shared" ca="1" si="118"/>
        <v>0</v>
      </c>
      <c r="T69" s="17">
        <f t="shared" ca="1" si="118"/>
        <v>0</v>
      </c>
      <c r="U69" s="17">
        <f t="shared" ca="1" si="118"/>
        <v>0</v>
      </c>
      <c r="V69" s="17">
        <f t="shared" ca="1" si="118"/>
        <v>0</v>
      </c>
      <c r="W69" s="17">
        <f t="shared" ca="1" si="118"/>
        <v>0</v>
      </c>
      <c r="X69" s="17">
        <f t="shared" ca="1" si="118"/>
        <v>0</v>
      </c>
      <c r="Y69" s="17">
        <f t="shared" ca="1" si="118"/>
        <v>0</v>
      </c>
      <c r="Z69" s="17">
        <f t="shared" ca="1" si="118"/>
        <v>0</v>
      </c>
      <c r="AA69" s="17">
        <f t="shared" ca="1" si="118"/>
        <v>0</v>
      </c>
      <c r="AB69" s="17">
        <f t="shared" ca="1" si="118"/>
        <v>0</v>
      </c>
      <c r="AC69" s="17">
        <f t="shared" ca="1" si="118"/>
        <v>0</v>
      </c>
      <c r="AD69" s="17">
        <f t="shared" ca="1" si="118"/>
        <v>0</v>
      </c>
      <c r="AE69" s="17">
        <f t="shared" ca="1" si="118"/>
        <v>0</v>
      </c>
      <c r="AF69" s="17">
        <f t="shared" ca="1" si="118"/>
        <v>0</v>
      </c>
      <c r="AG69" s="17">
        <f t="shared" ca="1" si="118"/>
        <v>0</v>
      </c>
      <c r="AH69" s="17">
        <f t="shared" ca="1" si="118"/>
        <v>0</v>
      </c>
      <c r="AI69" s="17">
        <f t="shared" ca="1" si="118"/>
        <v>0</v>
      </c>
      <c r="AJ69" s="17">
        <f t="shared" ca="1" si="118"/>
        <v>0</v>
      </c>
      <c r="AK69" s="17">
        <f t="shared" ca="1" si="118"/>
        <v>0</v>
      </c>
      <c r="AL69" s="17">
        <f t="shared" ca="1" si="118"/>
        <v>0</v>
      </c>
      <c r="AM69" s="17">
        <f t="shared" ca="1" si="118"/>
        <v>0</v>
      </c>
      <c r="AN69" s="17">
        <f t="shared" ca="1" si="118"/>
        <v>0</v>
      </c>
      <c r="AO69" s="17">
        <f t="shared" ca="1" si="118"/>
        <v>0</v>
      </c>
      <c r="AP69" s="17">
        <f t="shared" ca="1" si="118"/>
        <v>0</v>
      </c>
      <c r="AQ69" s="17">
        <f t="shared" ca="1" si="118"/>
        <v>0</v>
      </c>
      <c r="AR69" s="17">
        <f t="shared" ca="1" si="118"/>
        <v>0</v>
      </c>
      <c r="AS69" s="17">
        <f t="shared" ca="1" si="118"/>
        <v>0</v>
      </c>
      <c r="AT69" s="17">
        <f t="shared" ca="1" si="118"/>
        <v>0</v>
      </c>
      <c r="AU69" s="17">
        <f t="shared" ca="1" si="118"/>
        <v>0</v>
      </c>
      <c r="AV69" s="17">
        <f t="shared" ref="AV69" ca="1" si="119">AV66+AV67-AV68</f>
        <v>0</v>
      </c>
      <c r="AW69"/>
    </row>
    <row r="70" spans="1:49" s="5" customFormat="1" x14ac:dyDescent="0.2">
      <c r="A70" s="26"/>
      <c r="AW70"/>
    </row>
    <row r="71" spans="1:49" s="5" customFormat="1" x14ac:dyDescent="0.2">
      <c r="A71" s="22" t="s">
        <v>33</v>
      </c>
      <c r="AW71"/>
    </row>
    <row r="72" spans="1:49" s="5" customFormat="1" x14ac:dyDescent="0.2">
      <c r="A72" s="27" t="s">
        <v>21</v>
      </c>
      <c r="B72" s="17">
        <v>0</v>
      </c>
      <c r="C72" s="17">
        <f>B75</f>
        <v>338.16315000000003</v>
      </c>
      <c r="D72" s="17">
        <f t="shared" ref="D72:AO72" si="120">C75</f>
        <v>649.27324800000008</v>
      </c>
      <c r="E72" s="17">
        <f t="shared" si="120"/>
        <v>597.33138816000007</v>
      </c>
      <c r="F72" s="17">
        <f t="shared" si="120"/>
        <v>549.54487710720002</v>
      </c>
      <c r="G72" s="17">
        <f t="shared" si="120"/>
        <v>505.58128693862403</v>
      </c>
      <c r="H72" s="17">
        <f t="shared" si="120"/>
        <v>465.13478398353413</v>
      </c>
      <c r="I72" s="17">
        <f t="shared" si="120"/>
        <v>427.92400126485143</v>
      </c>
      <c r="J72" s="17">
        <f t="shared" si="120"/>
        <v>393.69008116366331</v>
      </c>
      <c r="K72" s="17">
        <f t="shared" si="120"/>
        <v>362.19487467057024</v>
      </c>
      <c r="L72" s="17">
        <f t="shared" si="120"/>
        <v>333.2192846969246</v>
      </c>
      <c r="M72" s="17">
        <f t="shared" si="120"/>
        <v>306.56174192117066</v>
      </c>
      <c r="N72" s="17">
        <f t="shared" si="120"/>
        <v>282.03680256747703</v>
      </c>
      <c r="O72" s="17">
        <f t="shared" si="120"/>
        <v>259.47385836207889</v>
      </c>
      <c r="P72" s="17">
        <f t="shared" si="120"/>
        <v>238.71594969311258</v>
      </c>
      <c r="Q72" s="17">
        <f t="shared" si="120"/>
        <v>219.61867371766357</v>
      </c>
      <c r="R72" s="17">
        <f t="shared" si="120"/>
        <v>202.04917982025049</v>
      </c>
      <c r="S72" s="17">
        <f t="shared" si="120"/>
        <v>185.88524543463046</v>
      </c>
      <c r="T72" s="17">
        <f t="shared" si="120"/>
        <v>171.01442579986002</v>
      </c>
      <c r="U72" s="17">
        <f t="shared" si="120"/>
        <v>157.33327173587122</v>
      </c>
      <c r="V72" s="17">
        <f t="shared" si="120"/>
        <v>144.74660999700151</v>
      </c>
      <c r="W72" s="17">
        <f t="shared" si="120"/>
        <v>133.16688119724139</v>
      </c>
      <c r="X72" s="17">
        <f t="shared" si="120"/>
        <v>122.51353070146209</v>
      </c>
      <c r="Y72" s="17">
        <f t="shared" si="120"/>
        <v>112.71244824534512</v>
      </c>
      <c r="Z72" s="17">
        <f t="shared" si="120"/>
        <v>103.6954523857175</v>
      </c>
      <c r="AA72" s="17">
        <f t="shared" si="120"/>
        <v>95.399816194860108</v>
      </c>
      <c r="AB72" s="17">
        <f t="shared" si="120"/>
        <v>87.767830899271303</v>
      </c>
      <c r="AC72" s="17">
        <f t="shared" si="120"/>
        <v>80.746404427329594</v>
      </c>
      <c r="AD72" s="17">
        <f t="shared" si="120"/>
        <v>74.286692073143229</v>
      </c>
      <c r="AE72" s="17">
        <f t="shared" si="120"/>
        <v>68.343756707291774</v>
      </c>
      <c r="AF72" s="17">
        <f t="shared" si="120"/>
        <v>62.87625617070843</v>
      </c>
      <c r="AG72" s="17">
        <f t="shared" si="120"/>
        <v>57.846155677051755</v>
      </c>
      <c r="AH72" s="17">
        <f t="shared" si="120"/>
        <v>53.218463222887614</v>
      </c>
      <c r="AI72" s="17">
        <f t="shared" si="120"/>
        <v>48.960986165056603</v>
      </c>
      <c r="AJ72" s="17">
        <f t="shared" si="120"/>
        <v>45.044107271852077</v>
      </c>
      <c r="AK72" s="17">
        <f t="shared" si="120"/>
        <v>41.440578690103912</v>
      </c>
      <c r="AL72" s="17">
        <f t="shared" si="120"/>
        <v>38.125332394895601</v>
      </c>
      <c r="AM72" s="17">
        <f t="shared" si="120"/>
        <v>35.075305803303955</v>
      </c>
      <c r="AN72" s="17">
        <f t="shared" si="120"/>
        <v>32.269281339039637</v>
      </c>
      <c r="AO72" s="17">
        <f t="shared" si="120"/>
        <v>29.687738831916466</v>
      </c>
      <c r="AP72" s="17">
        <f t="shared" ref="AP72" si="121">AO75</f>
        <v>27.312719725363149</v>
      </c>
      <c r="AQ72" s="17">
        <f t="shared" ref="AQ72" si="122">AP75</f>
        <v>25.127702147334098</v>
      </c>
      <c r="AR72" s="17">
        <f t="shared" ref="AR72" si="123">AQ75</f>
        <v>23.117485975547371</v>
      </c>
      <c r="AS72" s="17">
        <f t="shared" ref="AS72" si="124">AR75</f>
        <v>21.268087097503582</v>
      </c>
      <c r="AT72" s="17">
        <f t="shared" ref="AT72" si="125">AS75</f>
        <v>19.566640129703295</v>
      </c>
      <c r="AU72" s="17">
        <f t="shared" ref="AU72:AV72" si="126">AT75</f>
        <v>18.00130891932703</v>
      </c>
      <c r="AV72" s="17">
        <f t="shared" si="126"/>
        <v>16.561204205780868</v>
      </c>
      <c r="AW72"/>
    </row>
    <row r="73" spans="1:49" s="5" customFormat="1" x14ac:dyDescent="0.2">
      <c r="A73" s="27" t="s">
        <v>83</v>
      </c>
      <c r="B73" s="17">
        <f>$B$51*0.5</f>
        <v>338.16315000000003</v>
      </c>
      <c r="C73" s="17">
        <f>$B$51*0.5</f>
        <v>338.16315000000003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/>
    </row>
    <row r="74" spans="1:49" s="5" customFormat="1" x14ac:dyDescent="0.2">
      <c r="A74" s="27" t="s">
        <v>29</v>
      </c>
      <c r="B74" s="34"/>
      <c r="C74" s="28">
        <f t="shared" ref="C74:AU74" si="127">C72*C27</f>
        <v>27.053052000000005</v>
      </c>
      <c r="D74" s="28">
        <f t="shared" si="127"/>
        <v>51.941859840000006</v>
      </c>
      <c r="E74" s="28">
        <f t="shared" si="127"/>
        <v>47.786511052800009</v>
      </c>
      <c r="F74" s="28">
        <f t="shared" si="127"/>
        <v>43.963590168576005</v>
      </c>
      <c r="G74" s="28">
        <f t="shared" si="127"/>
        <v>40.446502955089926</v>
      </c>
      <c r="H74" s="28">
        <f t="shared" si="127"/>
        <v>37.210782718682729</v>
      </c>
      <c r="I74" s="28">
        <f t="shared" si="127"/>
        <v>34.233920101188112</v>
      </c>
      <c r="J74" s="28">
        <f t="shared" si="127"/>
        <v>31.495206493093065</v>
      </c>
      <c r="K74" s="28">
        <f t="shared" si="127"/>
        <v>28.975589973645619</v>
      </c>
      <c r="L74" s="28">
        <f t="shared" si="127"/>
        <v>26.657542775753967</v>
      </c>
      <c r="M74" s="28">
        <f t="shared" si="127"/>
        <v>24.524939353693654</v>
      </c>
      <c r="N74" s="28">
        <f t="shared" si="127"/>
        <v>22.562944205398164</v>
      </c>
      <c r="O74" s="28">
        <f t="shared" si="127"/>
        <v>20.757908668966312</v>
      </c>
      <c r="P74" s="28">
        <f t="shared" si="127"/>
        <v>19.097275975449005</v>
      </c>
      <c r="Q74" s="28">
        <f t="shared" si="127"/>
        <v>17.569493897413086</v>
      </c>
      <c r="R74" s="28">
        <f t="shared" si="127"/>
        <v>16.163934385620038</v>
      </c>
      <c r="S74" s="28">
        <f t="shared" si="127"/>
        <v>14.870819634770438</v>
      </c>
      <c r="T74" s="28">
        <f t="shared" si="127"/>
        <v>13.681154063988801</v>
      </c>
      <c r="U74" s="28">
        <f t="shared" si="127"/>
        <v>12.586661738869697</v>
      </c>
      <c r="V74" s="28">
        <f t="shared" si="127"/>
        <v>11.579728799760121</v>
      </c>
      <c r="W74" s="28">
        <f t="shared" si="127"/>
        <v>10.653350495779312</v>
      </c>
      <c r="X74" s="28">
        <f t="shared" si="127"/>
        <v>9.8010824561169674</v>
      </c>
      <c r="Y74" s="28">
        <f t="shared" si="127"/>
        <v>9.0169958596276096</v>
      </c>
      <c r="Z74" s="28">
        <f t="shared" si="127"/>
        <v>8.295636190857401</v>
      </c>
      <c r="AA74" s="28">
        <f t="shared" si="127"/>
        <v>7.6319852955888088</v>
      </c>
      <c r="AB74" s="28">
        <f t="shared" si="127"/>
        <v>7.0214264719417043</v>
      </c>
      <c r="AC74" s="28">
        <f t="shared" si="127"/>
        <v>6.4597123541863679</v>
      </c>
      <c r="AD74" s="28">
        <f t="shared" si="127"/>
        <v>5.9429353658514588</v>
      </c>
      <c r="AE74" s="28">
        <f t="shared" si="127"/>
        <v>5.4675005365833425</v>
      </c>
      <c r="AF74" s="28">
        <f t="shared" si="127"/>
        <v>5.0301004936566747</v>
      </c>
      <c r="AG74" s="28">
        <f t="shared" si="127"/>
        <v>4.6276924541641407</v>
      </c>
      <c r="AH74" s="28">
        <f t="shared" si="127"/>
        <v>4.257477057831009</v>
      </c>
      <c r="AI74" s="28">
        <f t="shared" si="127"/>
        <v>3.9168788932045282</v>
      </c>
      <c r="AJ74" s="28">
        <f t="shared" si="127"/>
        <v>3.6035285817481664</v>
      </c>
      <c r="AK74" s="28">
        <f t="shared" si="127"/>
        <v>3.315246295208313</v>
      </c>
      <c r="AL74" s="28">
        <f t="shared" si="127"/>
        <v>3.050026591591648</v>
      </c>
      <c r="AM74" s="28">
        <f t="shared" si="127"/>
        <v>2.8060244642643166</v>
      </c>
      <c r="AN74" s="28">
        <f t="shared" si="127"/>
        <v>2.5815425071231708</v>
      </c>
      <c r="AO74" s="28">
        <f t="shared" si="127"/>
        <v>2.3750191065533173</v>
      </c>
      <c r="AP74" s="28">
        <f t="shared" si="127"/>
        <v>2.1850175780290519</v>
      </c>
      <c r="AQ74" s="28">
        <f t="shared" si="127"/>
        <v>2.0102161717867277</v>
      </c>
      <c r="AR74" s="28">
        <f t="shared" si="127"/>
        <v>1.8493988780437898</v>
      </c>
      <c r="AS74" s="28">
        <f t="shared" si="127"/>
        <v>1.7014469678002866</v>
      </c>
      <c r="AT74" s="28">
        <f t="shared" si="127"/>
        <v>1.5653312103762635</v>
      </c>
      <c r="AU74" s="28">
        <f t="shared" si="127"/>
        <v>1.4401047135461624</v>
      </c>
      <c r="AV74" s="28">
        <f t="shared" ref="AV74" si="128">AV72*AV27</f>
        <v>1.3248963364624695</v>
      </c>
      <c r="AW74"/>
    </row>
    <row r="75" spans="1:49" s="5" customFormat="1" x14ac:dyDescent="0.2">
      <c r="A75" s="27" t="s">
        <v>30</v>
      </c>
      <c r="B75" s="17">
        <f>B72+B73-B74</f>
        <v>338.16315000000003</v>
      </c>
      <c r="C75" s="17">
        <f t="shared" ref="C75:AU75" si="129">C72+C73-C74</f>
        <v>649.27324800000008</v>
      </c>
      <c r="D75" s="17">
        <f t="shared" si="129"/>
        <v>597.33138816000007</v>
      </c>
      <c r="E75" s="17">
        <f t="shared" si="129"/>
        <v>549.54487710720002</v>
      </c>
      <c r="F75" s="17">
        <f t="shared" si="129"/>
        <v>505.58128693862403</v>
      </c>
      <c r="G75" s="17">
        <f t="shared" si="129"/>
        <v>465.13478398353413</v>
      </c>
      <c r="H75" s="17">
        <f t="shared" si="129"/>
        <v>427.92400126485143</v>
      </c>
      <c r="I75" s="17">
        <f t="shared" si="129"/>
        <v>393.69008116366331</v>
      </c>
      <c r="J75" s="17">
        <f t="shared" si="129"/>
        <v>362.19487467057024</v>
      </c>
      <c r="K75" s="17">
        <f t="shared" si="129"/>
        <v>333.2192846969246</v>
      </c>
      <c r="L75" s="17">
        <f t="shared" si="129"/>
        <v>306.56174192117066</v>
      </c>
      <c r="M75" s="17">
        <f t="shared" si="129"/>
        <v>282.03680256747703</v>
      </c>
      <c r="N75" s="17">
        <f t="shared" si="129"/>
        <v>259.47385836207889</v>
      </c>
      <c r="O75" s="17">
        <f t="shared" si="129"/>
        <v>238.71594969311258</v>
      </c>
      <c r="P75" s="17">
        <f t="shared" si="129"/>
        <v>219.61867371766357</v>
      </c>
      <c r="Q75" s="17">
        <f t="shared" si="129"/>
        <v>202.04917982025049</v>
      </c>
      <c r="R75" s="17">
        <f t="shared" si="129"/>
        <v>185.88524543463046</v>
      </c>
      <c r="S75" s="17">
        <f t="shared" si="129"/>
        <v>171.01442579986002</v>
      </c>
      <c r="T75" s="17">
        <f t="shared" si="129"/>
        <v>157.33327173587122</v>
      </c>
      <c r="U75" s="17">
        <f t="shared" si="129"/>
        <v>144.74660999700151</v>
      </c>
      <c r="V75" s="17">
        <f t="shared" si="129"/>
        <v>133.16688119724139</v>
      </c>
      <c r="W75" s="17">
        <f t="shared" si="129"/>
        <v>122.51353070146209</v>
      </c>
      <c r="X75" s="17">
        <f t="shared" si="129"/>
        <v>112.71244824534512</v>
      </c>
      <c r="Y75" s="17">
        <f t="shared" si="129"/>
        <v>103.6954523857175</v>
      </c>
      <c r="Z75" s="17">
        <f t="shared" si="129"/>
        <v>95.399816194860108</v>
      </c>
      <c r="AA75" s="17">
        <f t="shared" si="129"/>
        <v>87.767830899271303</v>
      </c>
      <c r="AB75" s="17">
        <f t="shared" si="129"/>
        <v>80.746404427329594</v>
      </c>
      <c r="AC75" s="17">
        <f t="shared" si="129"/>
        <v>74.286692073143229</v>
      </c>
      <c r="AD75" s="17">
        <f t="shared" si="129"/>
        <v>68.343756707291774</v>
      </c>
      <c r="AE75" s="17">
        <f t="shared" si="129"/>
        <v>62.87625617070843</v>
      </c>
      <c r="AF75" s="17">
        <f t="shared" si="129"/>
        <v>57.846155677051755</v>
      </c>
      <c r="AG75" s="17">
        <f t="shared" si="129"/>
        <v>53.218463222887614</v>
      </c>
      <c r="AH75" s="17">
        <f t="shared" si="129"/>
        <v>48.960986165056603</v>
      </c>
      <c r="AI75" s="17">
        <f t="shared" si="129"/>
        <v>45.044107271852077</v>
      </c>
      <c r="AJ75" s="17">
        <f t="shared" si="129"/>
        <v>41.440578690103912</v>
      </c>
      <c r="AK75" s="17">
        <f t="shared" si="129"/>
        <v>38.125332394895601</v>
      </c>
      <c r="AL75" s="17">
        <f t="shared" si="129"/>
        <v>35.075305803303955</v>
      </c>
      <c r="AM75" s="17">
        <f t="shared" si="129"/>
        <v>32.269281339039637</v>
      </c>
      <c r="AN75" s="17">
        <f t="shared" si="129"/>
        <v>29.687738831916466</v>
      </c>
      <c r="AO75" s="17">
        <f t="shared" si="129"/>
        <v>27.312719725363149</v>
      </c>
      <c r="AP75" s="17">
        <f t="shared" si="129"/>
        <v>25.127702147334098</v>
      </c>
      <c r="AQ75" s="17">
        <f t="shared" si="129"/>
        <v>23.117485975547371</v>
      </c>
      <c r="AR75" s="17">
        <f t="shared" si="129"/>
        <v>21.268087097503582</v>
      </c>
      <c r="AS75" s="17">
        <f t="shared" si="129"/>
        <v>19.566640129703295</v>
      </c>
      <c r="AT75" s="17">
        <f t="shared" si="129"/>
        <v>18.00130891932703</v>
      </c>
      <c r="AU75" s="17">
        <f t="shared" si="129"/>
        <v>16.561204205780868</v>
      </c>
      <c r="AV75" s="17">
        <f t="shared" ref="AV75" si="130">AV72+AV73-AV74</f>
        <v>15.236307869318399</v>
      </c>
      <c r="AW75"/>
    </row>
    <row r="76" spans="1:49" s="5" customFormat="1" x14ac:dyDescent="0.2">
      <c r="A76" s="26"/>
      <c r="AW76"/>
    </row>
    <row r="77" spans="1:49" s="5" customFormat="1" x14ac:dyDescent="0.2">
      <c r="A77" s="26"/>
      <c r="AW77"/>
    </row>
    <row r="78" spans="1:49" ht="27.75" customHeight="1" thickBot="1" x14ac:dyDescent="0.25">
      <c r="A78" s="25" t="s">
        <v>27</v>
      </c>
      <c r="C78" s="2">
        <f t="shared" ref="C78:AV78" si="131">C$2</f>
        <v>1</v>
      </c>
      <c r="D78" s="2">
        <f t="shared" si="131"/>
        <v>2</v>
      </c>
      <c r="E78" s="2">
        <f t="shared" si="131"/>
        <v>3</v>
      </c>
      <c r="F78" s="2">
        <f t="shared" si="131"/>
        <v>4</v>
      </c>
      <c r="G78" s="2">
        <f t="shared" si="131"/>
        <v>5</v>
      </c>
      <c r="H78" s="2">
        <f t="shared" si="131"/>
        <v>6</v>
      </c>
      <c r="I78" s="2">
        <f t="shared" si="131"/>
        <v>7</v>
      </c>
      <c r="J78" s="2">
        <f t="shared" si="131"/>
        <v>8</v>
      </c>
      <c r="K78" s="2">
        <f t="shared" si="131"/>
        <v>9</v>
      </c>
      <c r="L78" s="2">
        <f t="shared" si="131"/>
        <v>10</v>
      </c>
      <c r="M78" s="2">
        <f t="shared" si="131"/>
        <v>11</v>
      </c>
      <c r="N78" s="2">
        <f t="shared" si="131"/>
        <v>12</v>
      </c>
      <c r="O78" s="2">
        <f t="shared" si="131"/>
        <v>13</v>
      </c>
      <c r="P78" s="2">
        <f t="shared" si="131"/>
        <v>14</v>
      </c>
      <c r="Q78" s="2">
        <f t="shared" si="131"/>
        <v>15</v>
      </c>
      <c r="R78" s="2">
        <f t="shared" si="131"/>
        <v>16</v>
      </c>
      <c r="S78" s="2">
        <f t="shared" si="131"/>
        <v>17</v>
      </c>
      <c r="T78" s="2">
        <f t="shared" si="131"/>
        <v>18</v>
      </c>
      <c r="U78" s="2">
        <f t="shared" si="131"/>
        <v>19</v>
      </c>
      <c r="V78" s="2">
        <f t="shared" si="131"/>
        <v>20</v>
      </c>
      <c r="W78" s="2">
        <f t="shared" si="131"/>
        <v>21</v>
      </c>
      <c r="X78" s="2">
        <f t="shared" si="131"/>
        <v>22</v>
      </c>
      <c r="Y78" s="2">
        <f t="shared" si="131"/>
        <v>23</v>
      </c>
      <c r="Z78" s="2">
        <f t="shared" si="131"/>
        <v>24</v>
      </c>
      <c r="AA78" s="2">
        <f t="shared" si="131"/>
        <v>25</v>
      </c>
      <c r="AB78" s="2">
        <f t="shared" si="131"/>
        <v>26</v>
      </c>
      <c r="AC78" s="2">
        <f t="shared" si="131"/>
        <v>27</v>
      </c>
      <c r="AD78" s="2">
        <f t="shared" si="131"/>
        <v>28</v>
      </c>
      <c r="AE78" s="2">
        <f t="shared" si="131"/>
        <v>29</v>
      </c>
      <c r="AF78" s="2">
        <f t="shared" si="131"/>
        <v>30</v>
      </c>
      <c r="AG78" s="2">
        <f t="shared" si="131"/>
        <v>31</v>
      </c>
      <c r="AH78" s="2">
        <f t="shared" si="131"/>
        <v>32</v>
      </c>
      <c r="AI78" s="2">
        <f t="shared" si="131"/>
        <v>33</v>
      </c>
      <c r="AJ78" s="2">
        <f t="shared" si="131"/>
        <v>34</v>
      </c>
      <c r="AK78" s="2">
        <f t="shared" si="131"/>
        <v>35</v>
      </c>
      <c r="AL78" s="2">
        <f t="shared" si="131"/>
        <v>36</v>
      </c>
      <c r="AM78" s="2">
        <f t="shared" si="131"/>
        <v>37</v>
      </c>
      <c r="AN78" s="2">
        <f t="shared" si="131"/>
        <v>38</v>
      </c>
      <c r="AO78" s="2">
        <f t="shared" si="131"/>
        <v>39</v>
      </c>
      <c r="AP78" s="2">
        <f t="shared" si="131"/>
        <v>40</v>
      </c>
      <c r="AQ78" s="2">
        <f t="shared" si="131"/>
        <v>41</v>
      </c>
      <c r="AR78" s="2">
        <f t="shared" si="131"/>
        <v>42</v>
      </c>
      <c r="AS78" s="2">
        <f t="shared" si="131"/>
        <v>43</v>
      </c>
      <c r="AT78" s="2">
        <f t="shared" si="131"/>
        <v>44</v>
      </c>
      <c r="AU78" s="2">
        <f t="shared" si="131"/>
        <v>45</v>
      </c>
      <c r="AV78" s="2">
        <f t="shared" si="131"/>
        <v>46</v>
      </c>
    </row>
    <row r="79" spans="1:49" x14ac:dyDescent="0.2">
      <c r="A79" s="319"/>
      <c r="B79" s="319"/>
      <c r="C79" s="18">
        <f t="shared" ref="C79:AV79" si="132">C$3</f>
        <v>2017</v>
      </c>
      <c r="D79" s="18">
        <f t="shared" si="132"/>
        <v>2018</v>
      </c>
      <c r="E79" s="18">
        <f t="shared" si="132"/>
        <v>2019</v>
      </c>
      <c r="F79" s="18">
        <f t="shared" si="132"/>
        <v>2020</v>
      </c>
      <c r="G79" s="18">
        <f t="shared" si="132"/>
        <v>2021</v>
      </c>
      <c r="H79" s="18">
        <f t="shared" si="132"/>
        <v>2022</v>
      </c>
      <c r="I79" s="18">
        <f t="shared" si="132"/>
        <v>2023</v>
      </c>
      <c r="J79" s="18">
        <f t="shared" si="132"/>
        <v>2024</v>
      </c>
      <c r="K79" s="18">
        <f t="shared" si="132"/>
        <v>2025</v>
      </c>
      <c r="L79" s="18">
        <f t="shared" si="132"/>
        <v>2026</v>
      </c>
      <c r="M79" s="18">
        <f t="shared" si="132"/>
        <v>2027</v>
      </c>
      <c r="N79" s="18">
        <f t="shared" si="132"/>
        <v>2028</v>
      </c>
      <c r="O79" s="18">
        <f t="shared" si="132"/>
        <v>2029</v>
      </c>
      <c r="P79" s="18">
        <f t="shared" si="132"/>
        <v>2030</v>
      </c>
      <c r="Q79" s="18">
        <f t="shared" si="132"/>
        <v>2031</v>
      </c>
      <c r="R79" s="18">
        <f t="shared" si="132"/>
        <v>2032</v>
      </c>
      <c r="S79" s="18">
        <f t="shared" si="132"/>
        <v>2033</v>
      </c>
      <c r="T79" s="18">
        <f t="shared" si="132"/>
        <v>2034</v>
      </c>
      <c r="U79" s="18">
        <f t="shared" si="132"/>
        <v>2035</v>
      </c>
      <c r="V79" s="18">
        <f t="shared" si="132"/>
        <v>2036</v>
      </c>
      <c r="W79" s="18">
        <f t="shared" si="132"/>
        <v>2037</v>
      </c>
      <c r="X79" s="18">
        <f t="shared" si="132"/>
        <v>2038</v>
      </c>
      <c r="Y79" s="18">
        <f t="shared" si="132"/>
        <v>2039</v>
      </c>
      <c r="Z79" s="18">
        <f t="shared" si="132"/>
        <v>2040</v>
      </c>
      <c r="AA79" s="18">
        <f t="shared" si="132"/>
        <v>2041</v>
      </c>
      <c r="AB79" s="18">
        <f t="shared" si="132"/>
        <v>2042</v>
      </c>
      <c r="AC79" s="18">
        <f t="shared" si="132"/>
        <v>2043</v>
      </c>
      <c r="AD79" s="18">
        <f t="shared" si="132"/>
        <v>2044</v>
      </c>
      <c r="AE79" s="18">
        <f t="shared" si="132"/>
        <v>2045</v>
      </c>
      <c r="AF79" s="18">
        <f t="shared" si="132"/>
        <v>2046</v>
      </c>
      <c r="AG79" s="18">
        <f t="shared" si="132"/>
        <v>2047</v>
      </c>
      <c r="AH79" s="18">
        <f t="shared" si="132"/>
        <v>2048</v>
      </c>
      <c r="AI79" s="18">
        <f t="shared" si="132"/>
        <v>2049</v>
      </c>
      <c r="AJ79" s="18">
        <f t="shared" si="132"/>
        <v>2050</v>
      </c>
      <c r="AK79" s="18">
        <f t="shared" si="132"/>
        <v>2051</v>
      </c>
      <c r="AL79" s="18">
        <f t="shared" si="132"/>
        <v>2052</v>
      </c>
      <c r="AM79" s="18">
        <f t="shared" si="132"/>
        <v>2053</v>
      </c>
      <c r="AN79" s="18">
        <f t="shared" si="132"/>
        <v>2054</v>
      </c>
      <c r="AO79" s="18">
        <f t="shared" si="132"/>
        <v>2055</v>
      </c>
      <c r="AP79" s="18">
        <f t="shared" si="132"/>
        <v>2056</v>
      </c>
      <c r="AQ79" s="18">
        <f t="shared" si="132"/>
        <v>2057</v>
      </c>
      <c r="AR79" s="18">
        <f t="shared" si="132"/>
        <v>2058</v>
      </c>
      <c r="AS79" s="18">
        <f t="shared" si="132"/>
        <v>2059</v>
      </c>
      <c r="AT79" s="18">
        <f t="shared" si="132"/>
        <v>2060</v>
      </c>
      <c r="AU79" s="18">
        <f t="shared" si="132"/>
        <v>2061</v>
      </c>
      <c r="AV79" s="18">
        <f t="shared" si="132"/>
        <v>2062</v>
      </c>
    </row>
    <row r="80" spans="1:49" x14ac:dyDescent="0.2">
      <c r="A80" s="319"/>
      <c r="B80" s="319"/>
    </row>
    <row r="81" spans="1:49" x14ac:dyDescent="0.2">
      <c r="A81" s="30" t="s">
        <v>64</v>
      </c>
      <c r="B81" s="42"/>
      <c r="C81" s="17">
        <f>C6</f>
        <v>676.32630000000006</v>
      </c>
      <c r="D81" s="17">
        <f>C81</f>
        <v>676.32630000000006</v>
      </c>
      <c r="E81" s="17">
        <f t="shared" ref="E81:AO81" si="133">D81</f>
        <v>676.32630000000006</v>
      </c>
      <c r="F81" s="17">
        <f t="shared" si="133"/>
        <v>676.32630000000006</v>
      </c>
      <c r="G81" s="17">
        <f t="shared" si="133"/>
        <v>676.32630000000006</v>
      </c>
      <c r="H81" s="17">
        <f t="shared" si="133"/>
        <v>676.32630000000006</v>
      </c>
      <c r="I81" s="17">
        <f t="shared" si="133"/>
        <v>676.32630000000006</v>
      </c>
      <c r="J81" s="17">
        <f t="shared" si="133"/>
        <v>676.32630000000006</v>
      </c>
      <c r="K81" s="17">
        <f t="shared" si="133"/>
        <v>676.32630000000006</v>
      </c>
      <c r="L81" s="17">
        <f t="shared" si="133"/>
        <v>676.32630000000006</v>
      </c>
      <c r="M81" s="17">
        <f t="shared" si="133"/>
        <v>676.32630000000006</v>
      </c>
      <c r="N81" s="17">
        <f t="shared" si="133"/>
        <v>676.32630000000006</v>
      </c>
      <c r="O81" s="17">
        <f t="shared" si="133"/>
        <v>676.32630000000006</v>
      </c>
      <c r="P81" s="17">
        <f t="shared" si="133"/>
        <v>676.32630000000006</v>
      </c>
      <c r="Q81" s="17">
        <f t="shared" si="133"/>
        <v>676.32630000000006</v>
      </c>
      <c r="R81" s="17">
        <f t="shared" si="133"/>
        <v>676.32630000000006</v>
      </c>
      <c r="S81" s="17">
        <f t="shared" si="133"/>
        <v>676.32630000000006</v>
      </c>
      <c r="T81" s="17">
        <f t="shared" si="133"/>
        <v>676.32630000000006</v>
      </c>
      <c r="U81" s="17">
        <f t="shared" si="133"/>
        <v>676.32630000000006</v>
      </c>
      <c r="V81" s="17">
        <f t="shared" si="133"/>
        <v>676.32630000000006</v>
      </c>
      <c r="W81" s="17">
        <f t="shared" si="133"/>
        <v>676.32630000000006</v>
      </c>
      <c r="X81" s="17">
        <f t="shared" si="133"/>
        <v>676.32630000000006</v>
      </c>
      <c r="Y81" s="17">
        <f t="shared" si="133"/>
        <v>676.32630000000006</v>
      </c>
      <c r="Z81" s="17">
        <f t="shared" si="133"/>
        <v>676.32630000000006</v>
      </c>
      <c r="AA81" s="17">
        <f t="shared" si="133"/>
        <v>676.32630000000006</v>
      </c>
      <c r="AB81" s="17">
        <f t="shared" si="133"/>
        <v>676.32630000000006</v>
      </c>
      <c r="AC81" s="17">
        <f t="shared" si="133"/>
        <v>676.32630000000006</v>
      </c>
      <c r="AD81" s="17">
        <f t="shared" si="133"/>
        <v>676.32630000000006</v>
      </c>
      <c r="AE81" s="17">
        <f t="shared" si="133"/>
        <v>676.32630000000006</v>
      </c>
      <c r="AF81" s="17">
        <f t="shared" si="133"/>
        <v>676.32630000000006</v>
      </c>
      <c r="AG81" s="17">
        <f t="shared" si="133"/>
        <v>676.32630000000006</v>
      </c>
      <c r="AH81" s="17">
        <f t="shared" si="133"/>
        <v>676.32630000000006</v>
      </c>
      <c r="AI81" s="17">
        <f t="shared" si="133"/>
        <v>676.32630000000006</v>
      </c>
      <c r="AJ81" s="17">
        <f t="shared" si="133"/>
        <v>676.32630000000006</v>
      </c>
      <c r="AK81" s="17">
        <f t="shared" si="133"/>
        <v>676.32630000000006</v>
      </c>
      <c r="AL81" s="17">
        <f t="shared" si="133"/>
        <v>676.32630000000006</v>
      </c>
      <c r="AM81" s="17">
        <f t="shared" si="133"/>
        <v>676.32630000000006</v>
      </c>
      <c r="AN81" s="17">
        <f t="shared" si="133"/>
        <v>676.32630000000006</v>
      </c>
      <c r="AO81" s="17">
        <f t="shared" si="133"/>
        <v>676.32630000000006</v>
      </c>
      <c r="AP81" s="17">
        <f t="shared" ref="AP81" si="134">AO81</f>
        <v>676.32630000000006</v>
      </c>
      <c r="AQ81" s="17">
        <f t="shared" ref="AQ81" si="135">AP81</f>
        <v>676.32630000000006</v>
      </c>
      <c r="AR81" s="17">
        <f t="shared" ref="AR81" si="136">AQ81</f>
        <v>676.32630000000006</v>
      </c>
      <c r="AS81" s="17">
        <f t="shared" ref="AS81" si="137">AR81</f>
        <v>676.32630000000006</v>
      </c>
      <c r="AT81" s="17">
        <f t="shared" ref="AT81" si="138">AS81</f>
        <v>676.32630000000006</v>
      </c>
      <c r="AU81" s="17">
        <f t="shared" ref="AU81:AV81" si="139">AT81</f>
        <v>676.32630000000006</v>
      </c>
      <c r="AV81" s="17">
        <f t="shared" si="139"/>
        <v>676.32630000000006</v>
      </c>
    </row>
    <row r="82" spans="1:49" x14ac:dyDescent="0.2">
      <c r="A82" s="35" t="s">
        <v>37</v>
      </c>
      <c r="B82" s="42"/>
      <c r="C82" s="41">
        <f>C7</f>
        <v>45</v>
      </c>
      <c r="D82" s="41">
        <f t="shared" ref="D82:AU82" si="140">D7</f>
        <v>45</v>
      </c>
      <c r="E82" s="41">
        <f t="shared" si="140"/>
        <v>45</v>
      </c>
      <c r="F82" s="41">
        <f t="shared" si="140"/>
        <v>45</v>
      </c>
      <c r="G82" s="41">
        <f t="shared" si="140"/>
        <v>45</v>
      </c>
      <c r="H82" s="41">
        <f t="shared" si="140"/>
        <v>45</v>
      </c>
      <c r="I82" s="41">
        <f t="shared" si="140"/>
        <v>45</v>
      </c>
      <c r="J82" s="41">
        <f t="shared" si="140"/>
        <v>45</v>
      </c>
      <c r="K82" s="41">
        <f t="shared" si="140"/>
        <v>45</v>
      </c>
      <c r="L82" s="41">
        <f t="shared" si="140"/>
        <v>45</v>
      </c>
      <c r="M82" s="41">
        <f t="shared" si="140"/>
        <v>45</v>
      </c>
      <c r="N82" s="41">
        <f t="shared" si="140"/>
        <v>45</v>
      </c>
      <c r="O82" s="41">
        <f t="shared" si="140"/>
        <v>45</v>
      </c>
      <c r="P82" s="41">
        <f t="shared" si="140"/>
        <v>45</v>
      </c>
      <c r="Q82" s="41">
        <f t="shared" si="140"/>
        <v>45</v>
      </c>
      <c r="R82" s="41">
        <f t="shared" si="140"/>
        <v>45</v>
      </c>
      <c r="S82" s="41">
        <f t="shared" si="140"/>
        <v>45</v>
      </c>
      <c r="T82" s="41">
        <f t="shared" si="140"/>
        <v>45</v>
      </c>
      <c r="U82" s="41">
        <f t="shared" si="140"/>
        <v>45</v>
      </c>
      <c r="V82" s="41">
        <f t="shared" si="140"/>
        <v>45</v>
      </c>
      <c r="W82" s="41">
        <f t="shared" si="140"/>
        <v>45</v>
      </c>
      <c r="X82" s="41">
        <f t="shared" si="140"/>
        <v>45</v>
      </c>
      <c r="Y82" s="41">
        <f t="shared" si="140"/>
        <v>45</v>
      </c>
      <c r="Z82" s="41">
        <f t="shared" si="140"/>
        <v>45</v>
      </c>
      <c r="AA82" s="41">
        <f t="shared" si="140"/>
        <v>45</v>
      </c>
      <c r="AB82" s="41">
        <f t="shared" si="140"/>
        <v>45</v>
      </c>
      <c r="AC82" s="41">
        <f t="shared" si="140"/>
        <v>45</v>
      </c>
      <c r="AD82" s="41">
        <f t="shared" si="140"/>
        <v>45</v>
      </c>
      <c r="AE82" s="41">
        <f t="shared" si="140"/>
        <v>45</v>
      </c>
      <c r="AF82" s="41">
        <f t="shared" si="140"/>
        <v>45</v>
      </c>
      <c r="AG82" s="41">
        <f t="shared" si="140"/>
        <v>45</v>
      </c>
      <c r="AH82" s="41">
        <f t="shared" si="140"/>
        <v>45</v>
      </c>
      <c r="AI82" s="41">
        <f t="shared" si="140"/>
        <v>45</v>
      </c>
      <c r="AJ82" s="41">
        <f t="shared" si="140"/>
        <v>45</v>
      </c>
      <c r="AK82" s="41">
        <f t="shared" si="140"/>
        <v>45</v>
      </c>
      <c r="AL82" s="41">
        <f t="shared" si="140"/>
        <v>45</v>
      </c>
      <c r="AM82" s="41">
        <f t="shared" si="140"/>
        <v>45</v>
      </c>
      <c r="AN82" s="41">
        <f t="shared" si="140"/>
        <v>45</v>
      </c>
      <c r="AO82" s="41">
        <f t="shared" si="140"/>
        <v>45</v>
      </c>
      <c r="AP82" s="41">
        <f t="shared" si="140"/>
        <v>45</v>
      </c>
      <c r="AQ82" s="41">
        <f t="shared" si="140"/>
        <v>45</v>
      </c>
      <c r="AR82" s="41">
        <f t="shared" si="140"/>
        <v>45</v>
      </c>
      <c r="AS82" s="41">
        <f t="shared" si="140"/>
        <v>45</v>
      </c>
      <c r="AT82" s="41">
        <f t="shared" si="140"/>
        <v>45</v>
      </c>
      <c r="AU82" s="41">
        <f t="shared" si="140"/>
        <v>45</v>
      </c>
      <c r="AV82" s="41">
        <f t="shared" ref="AV82" si="141">AV7</f>
        <v>45</v>
      </c>
    </row>
    <row r="83" spans="1:49" s="3" customFormat="1" x14ac:dyDescent="0.2">
      <c r="A83" s="30" t="s">
        <v>38</v>
      </c>
      <c r="B83" s="42"/>
      <c r="C83" s="42">
        <f>IF(C82=0,0,C81/C82*C8)</f>
        <v>3.7573683333333339</v>
      </c>
      <c r="D83" s="42">
        <f t="shared" ref="D83:AU83" si="142">IF(D82=0,0,D81/D82*D8)</f>
        <v>15.029473333333335</v>
      </c>
      <c r="E83" s="42">
        <f t="shared" si="142"/>
        <v>15.029473333333335</v>
      </c>
      <c r="F83" s="42">
        <f t="shared" si="142"/>
        <v>15.029473333333335</v>
      </c>
      <c r="G83" s="42">
        <f t="shared" si="142"/>
        <v>15.029473333333335</v>
      </c>
      <c r="H83" s="42">
        <f t="shared" si="142"/>
        <v>15.029473333333335</v>
      </c>
      <c r="I83" s="42">
        <f t="shared" si="142"/>
        <v>15.029473333333335</v>
      </c>
      <c r="J83" s="42">
        <f t="shared" si="142"/>
        <v>15.029473333333335</v>
      </c>
      <c r="K83" s="42">
        <f t="shared" si="142"/>
        <v>15.029473333333335</v>
      </c>
      <c r="L83" s="42">
        <f t="shared" si="142"/>
        <v>15.029473333333335</v>
      </c>
      <c r="M83" s="42">
        <f t="shared" si="142"/>
        <v>15.029473333333335</v>
      </c>
      <c r="N83" s="42">
        <f t="shared" si="142"/>
        <v>15.029473333333335</v>
      </c>
      <c r="O83" s="42">
        <f t="shared" si="142"/>
        <v>15.029473333333335</v>
      </c>
      <c r="P83" s="42">
        <f t="shared" si="142"/>
        <v>15.029473333333335</v>
      </c>
      <c r="Q83" s="42">
        <f t="shared" si="142"/>
        <v>15.029473333333335</v>
      </c>
      <c r="R83" s="42">
        <f t="shared" si="142"/>
        <v>15.029473333333335</v>
      </c>
      <c r="S83" s="42">
        <f t="shared" si="142"/>
        <v>15.029473333333335</v>
      </c>
      <c r="T83" s="42">
        <f t="shared" si="142"/>
        <v>15.029473333333335</v>
      </c>
      <c r="U83" s="42">
        <f t="shared" si="142"/>
        <v>15.029473333333335</v>
      </c>
      <c r="V83" s="42">
        <f t="shared" si="142"/>
        <v>15.029473333333335</v>
      </c>
      <c r="W83" s="42">
        <f t="shared" si="142"/>
        <v>15.029473333333335</v>
      </c>
      <c r="X83" s="42">
        <f t="shared" si="142"/>
        <v>15.029473333333335</v>
      </c>
      <c r="Y83" s="42">
        <f t="shared" si="142"/>
        <v>15.029473333333335</v>
      </c>
      <c r="Z83" s="42">
        <f t="shared" si="142"/>
        <v>15.029473333333335</v>
      </c>
      <c r="AA83" s="42">
        <f t="shared" si="142"/>
        <v>15.029473333333335</v>
      </c>
      <c r="AB83" s="42">
        <f t="shared" si="142"/>
        <v>15.029473333333335</v>
      </c>
      <c r="AC83" s="42">
        <f t="shared" si="142"/>
        <v>15.029473333333335</v>
      </c>
      <c r="AD83" s="42">
        <f t="shared" si="142"/>
        <v>15.029473333333335</v>
      </c>
      <c r="AE83" s="42">
        <f t="shared" si="142"/>
        <v>15.029473333333335</v>
      </c>
      <c r="AF83" s="42">
        <f t="shared" si="142"/>
        <v>15.029473333333335</v>
      </c>
      <c r="AG83" s="42">
        <f t="shared" si="142"/>
        <v>15.029473333333335</v>
      </c>
      <c r="AH83" s="42">
        <f t="shared" si="142"/>
        <v>15.029473333333335</v>
      </c>
      <c r="AI83" s="42">
        <f t="shared" si="142"/>
        <v>15.029473333333335</v>
      </c>
      <c r="AJ83" s="42">
        <f t="shared" si="142"/>
        <v>15.029473333333335</v>
      </c>
      <c r="AK83" s="42">
        <f t="shared" si="142"/>
        <v>15.029473333333335</v>
      </c>
      <c r="AL83" s="42">
        <f t="shared" si="142"/>
        <v>15.029473333333335</v>
      </c>
      <c r="AM83" s="42">
        <f t="shared" si="142"/>
        <v>15.029473333333335</v>
      </c>
      <c r="AN83" s="42">
        <f t="shared" si="142"/>
        <v>15.029473333333335</v>
      </c>
      <c r="AO83" s="42">
        <f t="shared" si="142"/>
        <v>15.029473333333335</v>
      </c>
      <c r="AP83" s="42">
        <f t="shared" si="142"/>
        <v>15.029473333333335</v>
      </c>
      <c r="AQ83" s="42">
        <f t="shared" si="142"/>
        <v>15.029473333333335</v>
      </c>
      <c r="AR83" s="42">
        <f t="shared" si="142"/>
        <v>15.029473333333335</v>
      </c>
      <c r="AS83" s="42">
        <f t="shared" si="142"/>
        <v>15.029473333333335</v>
      </c>
      <c r="AT83" s="42">
        <f t="shared" si="142"/>
        <v>15.029473333333335</v>
      </c>
      <c r="AU83" s="42">
        <f t="shared" si="142"/>
        <v>15.029473333333335</v>
      </c>
      <c r="AV83" s="42">
        <f t="shared" ref="AV83" si="143">IF(AV82=0,0,AV81/AV82*AV8)</f>
        <v>11.272105000000002</v>
      </c>
      <c r="AW83"/>
    </row>
    <row r="84" spans="1:49" s="3" customFormat="1" x14ac:dyDescent="0.2">
      <c r="A84" s="18"/>
      <c r="B84" s="18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/>
    </row>
    <row r="85" spans="1:49" x14ac:dyDescent="0.2">
      <c r="A85" s="27"/>
    </row>
    <row r="86" spans="1:49" x14ac:dyDescent="0.2">
      <c r="A86" s="27"/>
    </row>
  </sheetData>
  <mergeCells count="2">
    <mergeCell ref="A79:B80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BN94"/>
  <sheetViews>
    <sheetView zoomScale="75" zoomScaleNormal="75" workbookViewId="0">
      <selection activeCell="Q18" sqref="Q18"/>
    </sheetView>
  </sheetViews>
  <sheetFormatPr defaultRowHeight="12.75" x14ac:dyDescent="0.2"/>
  <cols>
    <col min="1" max="1" width="6.7109375" style="50" customWidth="1"/>
    <col min="2" max="2" width="15.7109375" style="50" customWidth="1"/>
    <col min="3" max="3" width="21.42578125" style="50" bestFit="1" customWidth="1"/>
    <col min="4" max="4" width="20.28515625" style="50" bestFit="1" customWidth="1"/>
    <col min="5" max="5" width="21.140625" style="50" bestFit="1" customWidth="1"/>
    <col min="6" max="6" width="11.42578125" style="50" customWidth="1"/>
    <col min="7" max="7" width="10.85546875" style="50" customWidth="1"/>
    <col min="8" max="8" width="14.5703125" style="50" customWidth="1"/>
    <col min="9" max="9" width="13.140625" style="50" customWidth="1"/>
    <col min="10" max="10" width="12.140625" style="50" customWidth="1"/>
    <col min="11" max="11" width="4.85546875" style="50" customWidth="1"/>
    <col min="12" max="12" width="20.42578125" style="50" customWidth="1"/>
    <col min="13" max="13" width="1.85546875" customWidth="1"/>
    <col min="14" max="15" width="14.5703125" customWidth="1"/>
    <col min="16" max="16" width="13.42578125" customWidth="1"/>
    <col min="17" max="17" width="11.7109375" customWidth="1"/>
    <col min="18" max="18" width="2.28515625" customWidth="1"/>
    <col min="19" max="19" width="14.28515625" customWidth="1"/>
    <col min="20" max="20" width="3.42578125" style="50" customWidth="1"/>
    <col min="21" max="24" width="12.7109375" style="50" customWidth="1"/>
    <col min="25" max="25" width="16" style="50" customWidth="1"/>
    <col min="26" max="27" width="12.7109375" style="50" customWidth="1"/>
    <col min="28" max="28" width="16" style="50" customWidth="1"/>
    <col min="29" max="29" width="12.7109375" style="50" customWidth="1"/>
    <col min="30" max="30" width="5.85546875" style="50" customWidth="1"/>
    <col min="31" max="33" width="12.7109375" style="50" customWidth="1"/>
    <col min="34" max="34" width="14.85546875" style="50" customWidth="1"/>
    <col min="35" max="36" width="12.7109375" style="50" customWidth="1"/>
    <col min="37" max="37" width="15.5703125" style="50" customWidth="1"/>
    <col min="38" max="38" width="14.140625" style="50" bestFit="1" customWidth="1"/>
    <col min="39" max="39" width="13.5703125" style="50" customWidth="1"/>
    <col min="40" max="40" width="5.7109375" style="50" customWidth="1"/>
    <col min="41" max="45" width="14.140625" style="50" bestFit="1" customWidth="1"/>
    <col min="46" max="50" width="15.140625" style="50" bestFit="1" customWidth="1"/>
    <col min="51" max="56" width="12.5703125" style="50" bestFit="1" customWidth="1"/>
    <col min="57" max="65" width="10" style="50" bestFit="1" customWidth="1"/>
    <col min="66" max="16384" width="9.140625" style="50"/>
  </cols>
  <sheetData>
    <row r="1" spans="1:66" ht="55.5" customHeight="1" x14ac:dyDescent="0.2">
      <c r="A1" s="104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4" spans="1:66" ht="42.75" customHeight="1" x14ac:dyDescent="0.2">
      <c r="A4" s="176"/>
      <c r="B4" s="111" t="s">
        <v>164</v>
      </c>
      <c r="C4" s="111"/>
      <c r="D4" s="111"/>
      <c r="E4" s="111"/>
      <c r="F4" s="176"/>
      <c r="G4" s="113" t="s">
        <v>158</v>
      </c>
      <c r="H4" s="114"/>
      <c r="I4" s="114"/>
      <c r="J4" s="133"/>
      <c r="K4" s="110"/>
      <c r="L4" s="322" t="s">
        <v>165</v>
      </c>
      <c r="M4" s="323"/>
      <c r="N4" s="323"/>
      <c r="O4" s="323"/>
      <c r="P4" s="323"/>
      <c r="Q4" s="323"/>
      <c r="R4" s="323"/>
      <c r="S4" s="324"/>
      <c r="U4" s="121" t="s">
        <v>162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</row>
    <row r="5" spans="1:66" x14ac:dyDescent="0.2">
      <c r="A5" s="177"/>
      <c r="B5" s="142" t="s">
        <v>188</v>
      </c>
      <c r="C5" s="112"/>
      <c r="D5" s="112"/>
      <c r="E5" s="112"/>
      <c r="F5" s="177"/>
      <c r="G5" s="134"/>
      <c r="H5" s="135"/>
      <c r="I5" s="135"/>
      <c r="J5" s="136"/>
      <c r="K5" s="110"/>
    </row>
    <row r="6" spans="1:66" ht="61.5" customHeight="1" x14ac:dyDescent="0.2">
      <c r="A6" s="146"/>
      <c r="B6" s="147" t="s">
        <v>150</v>
      </c>
      <c r="C6" s="147" t="s">
        <v>151</v>
      </c>
      <c r="D6" s="147" t="s">
        <v>156</v>
      </c>
      <c r="E6" s="148" t="s">
        <v>157</v>
      </c>
      <c r="F6" s="149" t="s">
        <v>41</v>
      </c>
      <c r="G6" s="150"/>
      <c r="H6" s="151" t="s">
        <v>152</v>
      </c>
      <c r="I6" s="147" t="s">
        <v>159</v>
      </c>
      <c r="J6" s="148" t="s">
        <v>160</v>
      </c>
      <c r="K6" s="110"/>
      <c r="L6" s="67" t="s">
        <v>153</v>
      </c>
      <c r="N6" s="83" t="s">
        <v>258</v>
      </c>
      <c r="O6" s="125" t="s">
        <v>259</v>
      </c>
      <c r="P6" s="125" t="s">
        <v>187</v>
      </c>
      <c r="Q6" s="126" t="s">
        <v>44</v>
      </c>
      <c r="R6" s="143"/>
      <c r="S6" s="67" t="s">
        <v>28</v>
      </c>
      <c r="T6"/>
      <c r="U6" s="67" t="s">
        <v>101</v>
      </c>
      <c r="V6" s="67" t="s">
        <v>77</v>
      </c>
      <c r="W6" s="67" t="s">
        <v>75</v>
      </c>
      <c r="X6" s="67" t="s">
        <v>76</v>
      </c>
      <c r="Y6" s="67" t="s">
        <v>76</v>
      </c>
      <c r="Z6" s="67" t="s">
        <v>82</v>
      </c>
      <c r="AA6" s="67" t="s">
        <v>78</v>
      </c>
      <c r="AB6" s="67" t="s">
        <v>161</v>
      </c>
      <c r="AC6" s="67" t="s">
        <v>105</v>
      </c>
      <c r="AD6"/>
      <c r="AE6" s="67" t="s">
        <v>102</v>
      </c>
      <c r="AF6" s="67" t="s">
        <v>77</v>
      </c>
      <c r="AG6" s="67" t="s">
        <v>75</v>
      </c>
      <c r="AH6" s="67" t="s">
        <v>76</v>
      </c>
      <c r="AI6" s="67" t="s">
        <v>76</v>
      </c>
      <c r="AJ6" s="67" t="s">
        <v>103</v>
      </c>
      <c r="AK6" s="83" t="s">
        <v>78</v>
      </c>
      <c r="AL6" s="67" t="s">
        <v>163</v>
      </c>
      <c r="AM6" s="67" t="s">
        <v>105</v>
      </c>
      <c r="AN6"/>
      <c r="AO6" s="83" t="s">
        <v>166</v>
      </c>
      <c r="AP6" s="126" t="s">
        <v>28</v>
      </c>
    </row>
    <row r="7" spans="1:66" x14ac:dyDescent="0.2">
      <c r="A7" s="152"/>
      <c r="B7" s="153" t="s">
        <v>62</v>
      </c>
      <c r="C7" s="153" t="s">
        <v>63</v>
      </c>
      <c r="D7" s="153" t="s">
        <v>63</v>
      </c>
      <c r="E7" s="154" t="s">
        <v>63</v>
      </c>
      <c r="F7" s="152"/>
      <c r="G7" s="152"/>
      <c r="H7" s="155" t="s">
        <v>63</v>
      </c>
      <c r="I7" s="153" t="s">
        <v>63</v>
      </c>
      <c r="J7" s="154" t="s">
        <v>63</v>
      </c>
      <c r="K7" s="110"/>
      <c r="L7" s="105" t="s">
        <v>154</v>
      </c>
      <c r="N7" s="127" t="s">
        <v>155</v>
      </c>
      <c r="O7" s="128" t="s">
        <v>155</v>
      </c>
      <c r="P7" s="128" t="s">
        <v>62</v>
      </c>
      <c r="Q7" s="129" t="s">
        <v>154</v>
      </c>
      <c r="R7" s="143"/>
      <c r="S7" s="105" t="s">
        <v>154</v>
      </c>
      <c r="T7"/>
      <c r="U7" s="68" t="s">
        <v>99</v>
      </c>
      <c r="V7" s="68" t="s">
        <v>99</v>
      </c>
      <c r="W7" s="68" t="s">
        <v>99</v>
      </c>
      <c r="X7" s="68" t="s">
        <v>99</v>
      </c>
      <c r="Y7" s="68" t="s">
        <v>100</v>
      </c>
      <c r="Z7" s="68" t="s">
        <v>100</v>
      </c>
      <c r="AA7" s="68" t="s">
        <v>100</v>
      </c>
      <c r="AB7" s="68" t="s">
        <v>63</v>
      </c>
      <c r="AC7" s="68" t="s">
        <v>106</v>
      </c>
      <c r="AD7"/>
      <c r="AE7" s="68" t="s">
        <v>99</v>
      </c>
      <c r="AF7" s="68" t="s">
        <v>99</v>
      </c>
      <c r="AG7" s="68" t="s">
        <v>99</v>
      </c>
      <c r="AH7" s="68" t="s">
        <v>99</v>
      </c>
      <c r="AI7" s="68" t="s">
        <v>100</v>
      </c>
      <c r="AJ7" s="68" t="s">
        <v>100</v>
      </c>
      <c r="AK7" s="84" t="s">
        <v>100</v>
      </c>
      <c r="AL7" s="68" t="s">
        <v>63</v>
      </c>
      <c r="AM7" s="68" t="s">
        <v>106</v>
      </c>
      <c r="AN7"/>
      <c r="AO7" s="84" t="s">
        <v>63</v>
      </c>
      <c r="AP7" s="280" t="s">
        <v>106</v>
      </c>
      <c r="BN7" s="50" t="s">
        <v>43</v>
      </c>
    </row>
    <row r="8" spans="1:66" ht="34.5" customHeight="1" x14ac:dyDescent="0.2">
      <c r="A8" s="76"/>
      <c r="B8" s="156"/>
      <c r="C8" s="157">
        <f>16*365</f>
        <v>5840</v>
      </c>
      <c r="D8" s="158">
        <f>16*365*5/7</f>
        <v>4171.4285714285716</v>
      </c>
      <c r="E8" s="159">
        <f>16*365*2/7</f>
        <v>1668.5714285714287</v>
      </c>
      <c r="F8" s="76"/>
      <c r="G8" s="76"/>
      <c r="H8" s="156"/>
      <c r="I8" s="160"/>
      <c r="J8" s="161"/>
      <c r="K8" s="110"/>
      <c r="L8" s="137"/>
      <c r="N8" s="263">
        <f>Inputs!C23</f>
        <v>1.008E-2</v>
      </c>
      <c r="O8" s="263">
        <f>Inputs!C26</f>
        <v>9.9000000000000008E-3</v>
      </c>
      <c r="P8" s="138"/>
      <c r="Q8" s="139"/>
      <c r="R8" s="143"/>
      <c r="S8" s="144"/>
      <c r="T8"/>
      <c r="U8" s="75">
        <v>0.1</v>
      </c>
      <c r="V8" s="56"/>
      <c r="W8" s="51"/>
      <c r="X8" s="51"/>
      <c r="Y8" s="51"/>
      <c r="Z8" s="115"/>
      <c r="AA8" s="56"/>
      <c r="AB8" s="56"/>
      <c r="AC8" s="51"/>
      <c r="AD8"/>
      <c r="AE8" s="75">
        <v>0.1</v>
      </c>
      <c r="AF8" s="56"/>
      <c r="AG8" s="51"/>
      <c r="AH8" s="58"/>
      <c r="AI8" s="53"/>
      <c r="AJ8" s="53"/>
      <c r="AK8" s="56"/>
      <c r="AL8" s="51"/>
      <c r="AM8" s="51"/>
      <c r="AN8"/>
      <c r="AO8" s="282"/>
      <c r="AP8" s="281"/>
    </row>
    <row r="9" spans="1:66" x14ac:dyDescent="0.2">
      <c r="A9" s="162">
        <v>2017</v>
      </c>
      <c r="B9" s="178">
        <f>Inputs!C11</f>
        <v>165</v>
      </c>
      <c r="C9" s="274">
        <f>B9*$C$8*Inputs!C29</f>
        <v>240900</v>
      </c>
      <c r="D9" s="275">
        <f>B9*$D$8*Inputs!C29</f>
        <v>172071.42857142858</v>
      </c>
      <c r="E9" s="276">
        <f>B9*$E$8*Inputs!C29</f>
        <v>68828.571428571435</v>
      </c>
      <c r="F9" s="273">
        <f>Inputs!C19</f>
        <v>3.3000000000000002E-2</v>
      </c>
      <c r="G9" s="162">
        <v>2017</v>
      </c>
      <c r="H9" s="165">
        <f t="shared" ref="H9:H53" si="0">C9*(1-F9)</f>
        <v>232950.3</v>
      </c>
      <c r="I9" s="163">
        <f t="shared" ref="I9:I53" si="1">D9*(1-F9)</f>
        <v>166393.07142857142</v>
      </c>
      <c r="J9" s="164">
        <f t="shared" ref="J9:J53" si="2">E9*(1-F9)</f>
        <v>66557.228571428583</v>
      </c>
      <c r="K9" s="110"/>
      <c r="L9" s="106">
        <f t="array" aca="1" ref="L9:L53" ca="1">TRANSPOSE('Rate Base Model'!C36:AU36)</f>
        <v>8.1241518602958962</v>
      </c>
      <c r="N9" s="264">
        <f>Inputs!$C$21*(1+Inputs!$C$23)^('Firm Purchase Revenue Reqmnt'!A9-Inputs!$C$22)</f>
        <v>39.031944711394871</v>
      </c>
      <c r="O9" s="264">
        <f>Inputs!$C$24*(1+Inputs!$C$26)^('Firm Purchase Revenue Reqmnt'!A9-Inputs!$C$25)</f>
        <v>5.2142889678242472</v>
      </c>
      <c r="P9" s="131">
        <f>Inputs!C20</f>
        <v>500</v>
      </c>
      <c r="Q9" s="312">
        <f>(N9+O9)*P9/1000*Inputs!C29</f>
        <v>5.5307792099023896</v>
      </c>
      <c r="R9" s="130"/>
      <c r="S9" s="145">
        <f t="shared" ref="S9:S53" ca="1" si="3">Q9+L9</f>
        <v>13.654931070198286</v>
      </c>
      <c r="T9"/>
      <c r="U9" s="52">
        <f>VLOOKUP($A9,'ESAI - Q3 - Base Case'!$A$346:$N$400,9)*(1+$U$8)</f>
        <v>66.237126541666683</v>
      </c>
      <c r="V9" s="52">
        <f>VLOOKUP($A9,'ESAI - Q3 - Base Case'!$D$406:$N$455,11)</f>
        <v>6.5582191780821928</v>
      </c>
      <c r="W9" s="52">
        <f>F73*(1+$F$75)^(A9-F74)</f>
        <v>1.660595879158</v>
      </c>
      <c r="X9" s="52">
        <f>U9+V9-W9</f>
        <v>71.134749840590885</v>
      </c>
      <c r="Y9" s="52">
        <f t="shared" ref="Y9" si="4">X9*ForEx</f>
        <v>73.268792335808612</v>
      </c>
      <c r="Z9" s="52"/>
      <c r="AA9" s="52">
        <f>Y9-Z9</f>
        <v>73.268792335808612</v>
      </c>
      <c r="AB9" s="77">
        <f t="shared" ref="AB9:AB53" si="5">I9</f>
        <v>166393.07142857142</v>
      </c>
      <c r="AC9" s="78">
        <f>AB9*AA9/1000</f>
        <v>12191.419396617368</v>
      </c>
      <c r="AD9"/>
      <c r="AE9" s="52">
        <f>VLOOKUP($A9,'ESAI - Q3 - Base Case'!$A$346:$N$400,10)*(1+$AE$8)</f>
        <v>50.001401358333325</v>
      </c>
      <c r="AF9" s="52">
        <f>V9</f>
        <v>6.5582191780821928</v>
      </c>
      <c r="AG9" s="52">
        <f>W9</f>
        <v>1.660595879158</v>
      </c>
      <c r="AH9" s="52">
        <f>AE9+AF9-AG9</f>
        <v>54.899024657257513</v>
      </c>
      <c r="AI9" s="52">
        <f t="shared" ref="AI9" si="6">AH9*ForEx</f>
        <v>56.545995396975243</v>
      </c>
      <c r="AJ9" s="52">
        <f>Z9</f>
        <v>0</v>
      </c>
      <c r="AK9" s="52">
        <f>AI9-AJ9</f>
        <v>56.545995396975243</v>
      </c>
      <c r="AL9" s="77">
        <f>J9</f>
        <v>66557.228571428583</v>
      </c>
      <c r="AM9" s="78">
        <f>AL9*AK9/1000</f>
        <v>3763.54474043543</v>
      </c>
      <c r="AN9"/>
      <c r="AO9" s="279">
        <f>AL9+AB9</f>
        <v>232950.3</v>
      </c>
      <c r="AP9" s="116">
        <f>AM9+AC9</f>
        <v>15954.964137052797</v>
      </c>
      <c r="BN9" s="50" t="s">
        <v>43</v>
      </c>
    </row>
    <row r="10" spans="1:66" ht="15" customHeight="1" x14ac:dyDescent="0.2">
      <c r="A10" s="166">
        <f>A9+1</f>
        <v>2018</v>
      </c>
      <c r="B10" s="178">
        <f>Inputs!C11</f>
        <v>165</v>
      </c>
      <c r="C10" s="170">
        <f t="shared" ref="C10:C53" si="7">B10*$C$8</f>
        <v>963600</v>
      </c>
      <c r="D10" s="167">
        <f t="shared" ref="D10:D53" si="8">B10*$D$8</f>
        <v>688285.71428571432</v>
      </c>
      <c r="E10" s="168">
        <f t="shared" ref="E10:E53" si="9">B10*$E$8</f>
        <v>275314.28571428574</v>
      </c>
      <c r="F10" s="169">
        <f>F9</f>
        <v>3.3000000000000002E-2</v>
      </c>
      <c r="G10" s="166">
        <f>G9+1</f>
        <v>2018</v>
      </c>
      <c r="H10" s="170">
        <f t="shared" si="0"/>
        <v>931801.2</v>
      </c>
      <c r="I10" s="167">
        <f t="shared" si="1"/>
        <v>665572.28571428568</v>
      </c>
      <c r="J10" s="168">
        <f t="shared" si="2"/>
        <v>266228.91428571433</v>
      </c>
      <c r="K10" s="110"/>
      <c r="L10" s="106">
        <f ca="1"/>
        <v>56.951139738309188</v>
      </c>
      <c r="N10" s="265">
        <f>Inputs!$C$21*(1+Inputs!$C$23)^('Firm Purchase Revenue Reqmnt'!A10-Inputs!$C$22)</f>
        <v>39.425386714085732</v>
      </c>
      <c r="O10" s="265">
        <f>Inputs!$C$24*(1+Inputs!$C$26)^('Firm Purchase Revenue Reqmnt'!A10-Inputs!$C$25)</f>
        <v>5.2659104286057072</v>
      </c>
      <c r="P10" s="131">
        <f>P9</f>
        <v>500</v>
      </c>
      <c r="Q10" s="108">
        <f t="shared" ref="Q10:Q53" si="10">(N10+O10)*P10/1000</f>
        <v>22.34564857134572</v>
      </c>
      <c r="R10" s="130"/>
      <c r="S10" s="108">
        <f t="shared" ca="1" si="3"/>
        <v>79.296788309654914</v>
      </c>
      <c r="T10"/>
      <c r="U10" s="51">
        <f>VLOOKUP($A10,'ESAI - Q3 - Base Case'!$A$346:$N$400,9)*(1+$U$8)</f>
        <v>66.742484691666675</v>
      </c>
      <c r="V10" s="51">
        <f>VLOOKUP($A10,'ESAI - Q3 - Base Case'!$D$406:$N$455,11)</f>
        <v>8.1763698630136972</v>
      </c>
      <c r="W10" s="51">
        <f>W9*(1+$F$75)</f>
        <v>1.6772018379495801</v>
      </c>
      <c r="X10" s="51">
        <f t="shared" ref="X10:X53" si="11">U10+V10-W10</f>
        <v>73.241652716730783</v>
      </c>
      <c r="Y10" s="51">
        <f t="shared" ref="Y10:Y53" si="12">X10*ForEx</f>
        <v>75.438902298232705</v>
      </c>
      <c r="Z10" s="56"/>
      <c r="AA10" s="51">
        <f t="shared" ref="AA10:AA53" si="13">Y10-Z10</f>
        <v>75.438902298232705</v>
      </c>
      <c r="AB10" s="81">
        <f t="shared" si="5"/>
        <v>665572.28571428568</v>
      </c>
      <c r="AC10" s="79">
        <f>AB10*AA10/1000</f>
        <v>50210.042634411417</v>
      </c>
      <c r="AD10"/>
      <c r="AE10" s="51">
        <f>VLOOKUP($A10,'ESAI - Q3 - Base Case'!$A$346:$N$400,10)*(1+$AE$8)</f>
        <v>51.04167016666667</v>
      </c>
      <c r="AF10" s="51">
        <f t="shared" ref="AF10:AF53" si="14">V10</f>
        <v>8.1763698630136972</v>
      </c>
      <c r="AG10" s="51">
        <f t="shared" ref="AG10:AG53" si="15">W10</f>
        <v>1.6772018379495801</v>
      </c>
      <c r="AH10" s="51">
        <f t="shared" ref="AH10:AH53" si="16">AE10+AF10-AG10</f>
        <v>57.540838191730785</v>
      </c>
      <c r="AI10" s="51">
        <f t="shared" ref="AI10:AI53" si="17">AH10*ForEx</f>
        <v>59.26706333748271</v>
      </c>
      <c r="AJ10" s="56">
        <f t="shared" ref="AJ10:AJ53" si="18">Z10</f>
        <v>0</v>
      </c>
      <c r="AK10" s="51">
        <f t="shared" ref="AK10:AK53" si="19">AI10-AJ10</f>
        <v>59.26706333748271</v>
      </c>
      <c r="AL10" s="81">
        <f t="shared" ref="AL10:AL53" si="20">J10</f>
        <v>266228.91428571433</v>
      </c>
      <c r="AM10" s="79">
        <f>AL10*AK10/1000</f>
        <v>15778.605925240687</v>
      </c>
      <c r="AN10"/>
      <c r="AO10" s="277">
        <f t="shared" ref="AO10:AO53" si="21">AL10+AB10</f>
        <v>931801.2</v>
      </c>
      <c r="AP10" s="117">
        <f t="shared" ref="AP10:AP53" si="22">AM10+AC10</f>
        <v>65988.648559652109</v>
      </c>
      <c r="BN10" s="50" t="s">
        <v>43</v>
      </c>
    </row>
    <row r="11" spans="1:66" ht="15" customHeight="1" x14ac:dyDescent="0.2">
      <c r="A11" s="166">
        <f t="shared" ref="A11:A53" si="23">A10+1</f>
        <v>2019</v>
      </c>
      <c r="B11" s="178">
        <f t="shared" ref="B11:B53" si="24">B10</f>
        <v>165</v>
      </c>
      <c r="C11" s="170">
        <f t="shared" si="7"/>
        <v>963600</v>
      </c>
      <c r="D11" s="167">
        <f t="shared" si="8"/>
        <v>688285.71428571432</v>
      </c>
      <c r="E11" s="168">
        <f t="shared" si="9"/>
        <v>275314.28571428574</v>
      </c>
      <c r="F11" s="169">
        <f t="shared" ref="F11:F53" si="25">F10</f>
        <v>3.3000000000000002E-2</v>
      </c>
      <c r="G11" s="166">
        <f t="shared" ref="G11:G53" si="26">G10+1</f>
        <v>2019</v>
      </c>
      <c r="H11" s="170">
        <f t="shared" si="0"/>
        <v>931801.2</v>
      </c>
      <c r="I11" s="167">
        <f t="shared" si="1"/>
        <v>665572.28571428568</v>
      </c>
      <c r="J11" s="168">
        <f t="shared" si="2"/>
        <v>266228.91428571433</v>
      </c>
      <c r="K11" s="110"/>
      <c r="L11" s="106">
        <f ca="1"/>
        <v>57.495877553814502</v>
      </c>
      <c r="N11" s="265">
        <f>Inputs!$C$21*(1+Inputs!$C$23)^('Firm Purchase Revenue Reqmnt'!A11-Inputs!$C$22)</f>
        <v>39.822794612163719</v>
      </c>
      <c r="O11" s="265">
        <f>Inputs!$C$24*(1+Inputs!$C$26)^('Firm Purchase Revenue Reqmnt'!A11-Inputs!$C$25)</f>
        <v>5.3180429418489039</v>
      </c>
      <c r="P11" s="131">
        <f t="shared" ref="P11:P53" si="27">P10</f>
        <v>500</v>
      </c>
      <c r="Q11" s="108">
        <f t="shared" si="10"/>
        <v>22.57041877700631</v>
      </c>
      <c r="R11" s="130"/>
      <c r="S11" s="108">
        <f t="shared" ca="1" si="3"/>
        <v>80.066296330820819</v>
      </c>
      <c r="T11"/>
      <c r="U11" s="51">
        <f>VLOOKUP($A11,'ESAI - Q3 - Base Case'!$A$346:$N$400,9)*(1+$U$8)</f>
        <v>68.624961258333343</v>
      </c>
      <c r="V11" s="51">
        <f>VLOOKUP($A11,'ESAI - Q3 - Base Case'!$D$406:$N$455,11)</f>
        <v>11.558219178082192</v>
      </c>
      <c r="W11" s="51">
        <f t="shared" ref="W11:W53" si="28">W10*(1+$F$75)</f>
        <v>1.6939738563290758</v>
      </c>
      <c r="X11" s="51">
        <f t="shared" si="11"/>
        <v>78.48920658008646</v>
      </c>
      <c r="Y11" s="51">
        <f t="shared" si="12"/>
        <v>80.843882777489057</v>
      </c>
      <c r="Z11" s="56"/>
      <c r="AA11" s="51">
        <f t="shared" si="13"/>
        <v>80.843882777489057</v>
      </c>
      <c r="AB11" s="81">
        <f t="shared" si="5"/>
        <v>665572.28571428568</v>
      </c>
      <c r="AC11" s="79">
        <f t="shared" ref="AC11:AC53" si="29">AB11*AA11/1000</f>
        <v>53807.44784623116</v>
      </c>
      <c r="AD11"/>
      <c r="AE11" s="51">
        <f>VLOOKUP($A11,'ESAI - Q3 - Base Case'!$A$346:$N$400,10)*(1+$AE$8)</f>
        <v>52.212101608333327</v>
      </c>
      <c r="AF11" s="51">
        <f t="shared" si="14"/>
        <v>11.558219178082192</v>
      </c>
      <c r="AG11" s="51">
        <f t="shared" si="15"/>
        <v>1.6939738563290758</v>
      </c>
      <c r="AH11" s="51">
        <f t="shared" si="16"/>
        <v>62.076346930086444</v>
      </c>
      <c r="AI11" s="51">
        <f t="shared" si="17"/>
        <v>63.938637337989036</v>
      </c>
      <c r="AJ11" s="56">
        <f t="shared" si="18"/>
        <v>0</v>
      </c>
      <c r="AK11" s="51">
        <f t="shared" si="19"/>
        <v>63.938637337989036</v>
      </c>
      <c r="AL11" s="81">
        <f t="shared" si="20"/>
        <v>266228.91428571433</v>
      </c>
      <c r="AM11" s="79">
        <f t="shared" ref="AM11:AM53" si="30">AL11*AK11/1000</f>
        <v>17022.313999400856</v>
      </c>
      <c r="AN11"/>
      <c r="AO11" s="277">
        <f t="shared" si="21"/>
        <v>931801.2</v>
      </c>
      <c r="AP11" s="117">
        <f t="shared" si="22"/>
        <v>70829.76184563202</v>
      </c>
      <c r="BN11" s="50" t="s">
        <v>43</v>
      </c>
    </row>
    <row r="12" spans="1:66" ht="15" customHeight="1" x14ac:dyDescent="0.2">
      <c r="A12" s="166">
        <f t="shared" si="23"/>
        <v>2020</v>
      </c>
      <c r="B12" s="178">
        <f t="shared" si="24"/>
        <v>165</v>
      </c>
      <c r="C12" s="170">
        <f t="shared" si="7"/>
        <v>963600</v>
      </c>
      <c r="D12" s="167">
        <f t="shared" si="8"/>
        <v>688285.71428571432</v>
      </c>
      <c r="E12" s="168">
        <f t="shared" si="9"/>
        <v>275314.28571428574</v>
      </c>
      <c r="F12" s="169">
        <f t="shared" si="25"/>
        <v>3.3000000000000002E-2</v>
      </c>
      <c r="G12" s="166">
        <f t="shared" si="26"/>
        <v>2020</v>
      </c>
      <c r="H12" s="170">
        <f t="shared" si="0"/>
        <v>931801.2</v>
      </c>
      <c r="I12" s="167">
        <f t="shared" si="1"/>
        <v>665572.28571428568</v>
      </c>
      <c r="J12" s="168">
        <f t="shared" si="2"/>
        <v>266228.91428571433</v>
      </c>
      <c r="K12" s="110"/>
      <c r="L12" s="106">
        <f ca="1"/>
        <v>57.891263702765372</v>
      </c>
      <c r="N12" s="265">
        <f>Inputs!$C$21*(1+Inputs!$C$23)^('Firm Purchase Revenue Reqmnt'!A12-Inputs!$C$22)</f>
        <v>40.224208381854339</v>
      </c>
      <c r="O12" s="265">
        <f>Inputs!$C$24*(1+Inputs!$C$26)^('Firm Purchase Revenue Reqmnt'!A12-Inputs!$C$25)</f>
        <v>5.3706915669732087</v>
      </c>
      <c r="P12" s="131">
        <f t="shared" si="27"/>
        <v>500</v>
      </c>
      <c r="Q12" s="108">
        <f t="shared" si="10"/>
        <v>22.797449974413773</v>
      </c>
      <c r="R12" s="130"/>
      <c r="S12" s="108">
        <f t="shared" ca="1" si="3"/>
        <v>80.688713677179152</v>
      </c>
      <c r="T12"/>
      <c r="U12" s="51">
        <f>VLOOKUP($A12,'ESAI - Q3 - Base Case'!$A$346:$N$400,9)*(1+$U$8)</f>
        <v>71.676898425000005</v>
      </c>
      <c r="V12" s="51">
        <f>VLOOKUP($A12,'ESAI - Q3 - Base Case'!$D$406:$N$455,11)</f>
        <v>14.554794520547944</v>
      </c>
      <c r="W12" s="51">
        <f t="shared" si="28"/>
        <v>1.7109135948923666</v>
      </c>
      <c r="X12" s="51">
        <f t="shared" si="11"/>
        <v>84.520779350655587</v>
      </c>
      <c r="Y12" s="51">
        <f t="shared" si="12"/>
        <v>87.056402731175254</v>
      </c>
      <c r="Z12" s="56"/>
      <c r="AA12" s="51">
        <f t="shared" si="13"/>
        <v>87.056402731175254</v>
      </c>
      <c r="AB12" s="81">
        <f t="shared" si="5"/>
        <v>665572.28571428568</v>
      </c>
      <c r="AC12" s="79">
        <f t="shared" si="29"/>
        <v>57942.328951851698</v>
      </c>
      <c r="AD12"/>
      <c r="AE12" s="51">
        <f>VLOOKUP($A12,'ESAI - Q3 - Base Case'!$A$346:$N$400,10)*(1+$AE$8)</f>
        <v>54.576049275000003</v>
      </c>
      <c r="AF12" s="51">
        <f t="shared" si="14"/>
        <v>14.554794520547944</v>
      </c>
      <c r="AG12" s="51">
        <f t="shared" si="15"/>
        <v>1.7109135948923666</v>
      </c>
      <c r="AH12" s="51">
        <f t="shared" si="16"/>
        <v>67.419930200655585</v>
      </c>
      <c r="AI12" s="51">
        <f t="shared" si="17"/>
        <v>69.442528106675255</v>
      </c>
      <c r="AJ12" s="56">
        <f t="shared" si="18"/>
        <v>0</v>
      </c>
      <c r="AK12" s="51">
        <f t="shared" si="19"/>
        <v>69.442528106675255</v>
      </c>
      <c r="AL12" s="81">
        <f t="shared" si="20"/>
        <v>266228.91428571433</v>
      </c>
      <c r="AM12" s="79">
        <f t="shared" si="30"/>
        <v>18487.608863095353</v>
      </c>
      <c r="AN12"/>
      <c r="AO12" s="277">
        <f t="shared" si="21"/>
        <v>931801.2</v>
      </c>
      <c r="AP12" s="117">
        <f t="shared" si="22"/>
        <v>76429.937814947043</v>
      </c>
      <c r="BN12" s="50" t="s">
        <v>43</v>
      </c>
    </row>
    <row r="13" spans="1:66" ht="15" customHeight="1" x14ac:dyDescent="0.2">
      <c r="A13" s="166">
        <f t="shared" si="23"/>
        <v>2021</v>
      </c>
      <c r="B13" s="178">
        <f t="shared" si="24"/>
        <v>165</v>
      </c>
      <c r="C13" s="170">
        <f t="shared" si="7"/>
        <v>963600</v>
      </c>
      <c r="D13" s="167">
        <f t="shared" si="8"/>
        <v>688285.71428571432</v>
      </c>
      <c r="E13" s="168">
        <f t="shared" si="9"/>
        <v>275314.28571428574</v>
      </c>
      <c r="F13" s="169">
        <f t="shared" si="25"/>
        <v>3.3000000000000002E-2</v>
      </c>
      <c r="G13" s="166">
        <f t="shared" si="26"/>
        <v>2021</v>
      </c>
      <c r="H13" s="170">
        <f t="shared" si="0"/>
        <v>931801.2</v>
      </c>
      <c r="I13" s="167">
        <f t="shared" si="1"/>
        <v>665572.28571428568</v>
      </c>
      <c r="J13" s="168">
        <f t="shared" si="2"/>
        <v>266228.91428571433</v>
      </c>
      <c r="K13" s="110"/>
      <c r="L13" s="106">
        <f ca="1"/>
        <v>58.149246318486163</v>
      </c>
      <c r="N13" s="265">
        <f>Inputs!$C$21*(1+Inputs!$C$23)^('Firm Purchase Revenue Reqmnt'!A13-Inputs!$C$22)</f>
        <v>40.629668402343427</v>
      </c>
      <c r="O13" s="265">
        <f>Inputs!$C$24*(1+Inputs!$C$26)^('Firm Purchase Revenue Reqmnt'!A13-Inputs!$C$25)</f>
        <v>5.423861413486244</v>
      </c>
      <c r="P13" s="131">
        <f t="shared" si="27"/>
        <v>500</v>
      </c>
      <c r="Q13" s="108">
        <f t="shared" si="10"/>
        <v>23.026764907914835</v>
      </c>
      <c r="R13" s="130"/>
      <c r="S13" s="108">
        <f t="shared" ca="1" si="3"/>
        <v>81.176011226401002</v>
      </c>
      <c r="T13"/>
      <c r="U13" s="51">
        <f>VLOOKUP($A13,'ESAI - Q3 - Base Case'!$A$346:$N$400,9)*(1+$U$8)</f>
        <v>73.611866991666687</v>
      </c>
      <c r="V13" s="51">
        <f>VLOOKUP($A13,'ESAI - Q3 - Base Case'!$D$406:$N$455,11)</f>
        <v>17.816780821917813</v>
      </c>
      <c r="W13" s="51">
        <f t="shared" si="28"/>
        <v>1.7280227308412903</v>
      </c>
      <c r="X13" s="51">
        <f t="shared" si="11"/>
        <v>89.700625082743215</v>
      </c>
      <c r="Y13" s="51">
        <f t="shared" si="12"/>
        <v>92.391643835225508</v>
      </c>
      <c r="Z13" s="56"/>
      <c r="AA13" s="51">
        <f t="shared" si="13"/>
        <v>92.391643835225508</v>
      </c>
      <c r="AB13" s="81">
        <f t="shared" si="5"/>
        <v>665572.28571428568</v>
      </c>
      <c r="AC13" s="79">
        <f t="shared" si="29"/>
        <v>61493.317568311235</v>
      </c>
      <c r="AD13"/>
      <c r="AE13" s="51">
        <f>VLOOKUP($A13,'ESAI - Q3 - Base Case'!$A$346:$N$400,10)*(1+$AE$8)</f>
        <v>56.134355108333331</v>
      </c>
      <c r="AF13" s="51">
        <f t="shared" si="14"/>
        <v>17.816780821917813</v>
      </c>
      <c r="AG13" s="51">
        <f t="shared" si="15"/>
        <v>1.7280227308412903</v>
      </c>
      <c r="AH13" s="51">
        <f t="shared" si="16"/>
        <v>72.223113199409852</v>
      </c>
      <c r="AI13" s="51">
        <f t="shared" si="17"/>
        <v>74.389806595392145</v>
      </c>
      <c r="AJ13" s="56">
        <f t="shared" si="18"/>
        <v>0</v>
      </c>
      <c r="AK13" s="51">
        <f t="shared" si="19"/>
        <v>74.389806595392145</v>
      </c>
      <c r="AL13" s="81">
        <f t="shared" si="20"/>
        <v>266228.91428571433</v>
      </c>
      <c r="AM13" s="79">
        <f t="shared" si="30"/>
        <v>19804.717443815523</v>
      </c>
      <c r="AN13"/>
      <c r="AO13" s="277">
        <f t="shared" si="21"/>
        <v>931801.2</v>
      </c>
      <c r="AP13" s="117">
        <f t="shared" si="22"/>
        <v>81298.035012126755</v>
      </c>
      <c r="BN13" s="50" t="s">
        <v>43</v>
      </c>
    </row>
    <row r="14" spans="1:66" ht="15" customHeight="1" x14ac:dyDescent="0.2">
      <c r="A14" s="166">
        <f t="shared" si="23"/>
        <v>2022</v>
      </c>
      <c r="B14" s="178">
        <f t="shared" si="24"/>
        <v>165</v>
      </c>
      <c r="C14" s="170">
        <f t="shared" si="7"/>
        <v>963600</v>
      </c>
      <c r="D14" s="167">
        <f t="shared" si="8"/>
        <v>688285.71428571432</v>
      </c>
      <c r="E14" s="168">
        <f t="shared" si="9"/>
        <v>275314.28571428574</v>
      </c>
      <c r="F14" s="169">
        <f t="shared" si="25"/>
        <v>3.3000000000000002E-2</v>
      </c>
      <c r="G14" s="166">
        <f t="shared" si="26"/>
        <v>2022</v>
      </c>
      <c r="H14" s="170">
        <f t="shared" si="0"/>
        <v>931801.2</v>
      </c>
      <c r="I14" s="167">
        <f t="shared" si="1"/>
        <v>665572.28571428568</v>
      </c>
      <c r="J14" s="168">
        <f t="shared" si="2"/>
        <v>266228.91428571433</v>
      </c>
      <c r="K14" s="110"/>
      <c r="L14" s="106">
        <f ca="1"/>
        <v>58.280817683635277</v>
      </c>
      <c r="N14" s="265">
        <f>Inputs!$C$21*(1+Inputs!$C$23)^('Firm Purchase Revenue Reqmnt'!A14-Inputs!$C$22)</f>
        <v>41.039215459839049</v>
      </c>
      <c r="O14" s="265">
        <f>Inputs!$C$24*(1+Inputs!$C$26)^('Firm Purchase Revenue Reqmnt'!A14-Inputs!$C$25)</f>
        <v>5.4775576414797573</v>
      </c>
      <c r="P14" s="131">
        <f t="shared" si="27"/>
        <v>500</v>
      </c>
      <c r="Q14" s="108">
        <f t="shared" si="10"/>
        <v>23.258386550659402</v>
      </c>
      <c r="R14" s="130"/>
      <c r="S14" s="108">
        <f t="shared" ca="1" si="3"/>
        <v>81.539204234294687</v>
      </c>
      <c r="T14"/>
      <c r="U14" s="51">
        <f>VLOOKUP($A14,'ESAI - Q3 - Base Case'!$A$346:$N$400,9)*(1+$U$8)</f>
        <v>76.608481033333348</v>
      </c>
      <c r="V14" s="51">
        <f>VLOOKUP($A14,'ESAI - Q3 - Base Case'!$D$406:$N$455,11)</f>
        <v>20.881849315068497</v>
      </c>
      <c r="W14" s="51">
        <f t="shared" si="28"/>
        <v>1.7453029581497033</v>
      </c>
      <c r="X14" s="51">
        <f t="shared" si="11"/>
        <v>95.745027390252133</v>
      </c>
      <c r="Y14" s="51">
        <f t="shared" si="12"/>
        <v>98.617378211959704</v>
      </c>
      <c r="Z14" s="56"/>
      <c r="AA14" s="51">
        <f t="shared" si="13"/>
        <v>98.617378211959704</v>
      </c>
      <c r="AB14" s="81">
        <f t="shared" si="5"/>
        <v>665572.28571428568</v>
      </c>
      <c r="AC14" s="79">
        <f t="shared" si="29"/>
        <v>65636.993827684215</v>
      </c>
      <c r="AD14"/>
      <c r="AE14" s="51">
        <f>VLOOKUP($A14,'ESAI - Q3 - Base Case'!$A$346:$N$400,10)*(1+$AE$8)</f>
        <v>58.680544908333346</v>
      </c>
      <c r="AF14" s="51">
        <f t="shared" si="14"/>
        <v>20.881849315068497</v>
      </c>
      <c r="AG14" s="51">
        <f t="shared" si="15"/>
        <v>1.7453029581497033</v>
      </c>
      <c r="AH14" s="51">
        <f t="shared" si="16"/>
        <v>77.817091265252131</v>
      </c>
      <c r="AI14" s="51">
        <f t="shared" si="17"/>
        <v>80.151604003209698</v>
      </c>
      <c r="AJ14" s="56">
        <f t="shared" si="18"/>
        <v>0</v>
      </c>
      <c r="AK14" s="51">
        <f t="shared" si="19"/>
        <v>80.151604003209698</v>
      </c>
      <c r="AL14" s="81">
        <f t="shared" si="20"/>
        <v>266228.91428571433</v>
      </c>
      <c r="AM14" s="79">
        <f t="shared" si="30"/>
        <v>21338.674512033034</v>
      </c>
      <c r="AN14"/>
      <c r="AO14" s="277">
        <f t="shared" si="21"/>
        <v>931801.2</v>
      </c>
      <c r="AP14" s="117">
        <f t="shared" si="22"/>
        <v>86975.668339717246</v>
      </c>
      <c r="BN14" s="50" t="s">
        <v>43</v>
      </c>
    </row>
    <row r="15" spans="1:66" ht="15" customHeight="1" x14ac:dyDescent="0.2">
      <c r="A15" s="166">
        <f t="shared" si="23"/>
        <v>2023</v>
      </c>
      <c r="B15" s="178">
        <f t="shared" si="24"/>
        <v>165</v>
      </c>
      <c r="C15" s="170">
        <f t="shared" si="7"/>
        <v>963600</v>
      </c>
      <c r="D15" s="167">
        <f t="shared" si="8"/>
        <v>688285.71428571432</v>
      </c>
      <c r="E15" s="168">
        <f t="shared" si="9"/>
        <v>275314.28571428574</v>
      </c>
      <c r="F15" s="169">
        <f t="shared" si="25"/>
        <v>3.3000000000000002E-2</v>
      </c>
      <c r="G15" s="166">
        <f t="shared" si="26"/>
        <v>2023</v>
      </c>
      <c r="H15" s="170">
        <f t="shared" si="0"/>
        <v>931801.2</v>
      </c>
      <c r="I15" s="167">
        <f t="shared" si="1"/>
        <v>665572.28571428568</v>
      </c>
      <c r="J15" s="168">
        <f t="shared" si="2"/>
        <v>266228.91428571433</v>
      </c>
      <c r="K15" s="110"/>
      <c r="L15" s="106">
        <f ca="1"/>
        <v>58.296090698258475</v>
      </c>
      <c r="N15" s="265">
        <f>Inputs!$C$21*(1+Inputs!$C$23)^('Firm Purchase Revenue Reqmnt'!A15-Inputs!$C$22)</f>
        <v>41.452890751674232</v>
      </c>
      <c r="O15" s="265">
        <f>Inputs!$C$24*(1+Inputs!$C$26)^('Firm Purchase Revenue Reqmnt'!A15-Inputs!$C$25)</f>
        <v>5.5317854621304079</v>
      </c>
      <c r="P15" s="131">
        <f t="shared" si="27"/>
        <v>500</v>
      </c>
      <c r="Q15" s="108">
        <f t="shared" si="10"/>
        <v>23.49233810690232</v>
      </c>
      <c r="R15" s="130"/>
      <c r="S15" s="108">
        <f t="shared" ca="1" si="3"/>
        <v>81.788428805160791</v>
      </c>
      <c r="T15"/>
      <c r="U15" s="51">
        <f>VLOOKUP($A15,'ESAI - Q3 - Base Case'!$A$346:$N$400,9)*(1+$U$8)</f>
        <v>78.140650654000012</v>
      </c>
      <c r="V15" s="51">
        <f>VLOOKUP($A15,'ESAI - Q3 - Base Case'!$D$406:$N$455,11)</f>
        <v>22.256849315068497</v>
      </c>
      <c r="W15" s="51">
        <f t="shared" si="28"/>
        <v>1.7627559877312002</v>
      </c>
      <c r="X15" s="51">
        <f t="shared" si="11"/>
        <v>98.634743981337309</v>
      </c>
      <c r="Y15" s="51">
        <f t="shared" si="12"/>
        <v>101.59378630077742</v>
      </c>
      <c r="Z15" s="56"/>
      <c r="AA15" s="51">
        <f t="shared" si="13"/>
        <v>101.59378630077742</v>
      </c>
      <c r="AB15" s="81">
        <f t="shared" si="5"/>
        <v>665572.28571428568</v>
      </c>
      <c r="AC15" s="79">
        <f t="shared" si="29"/>
        <v>67618.008562577117</v>
      </c>
      <c r="AD15"/>
      <c r="AE15" s="51">
        <f>VLOOKUP($A15,'ESAI - Q3 - Base Case'!$A$346:$N$400,10)*(1+$AE$8)</f>
        <v>59.854155806500017</v>
      </c>
      <c r="AF15" s="51">
        <f t="shared" si="14"/>
        <v>22.256849315068497</v>
      </c>
      <c r="AG15" s="51">
        <f t="shared" si="15"/>
        <v>1.7627559877312002</v>
      </c>
      <c r="AH15" s="51">
        <f t="shared" si="16"/>
        <v>80.348249133837314</v>
      </c>
      <c r="AI15" s="51">
        <f t="shared" si="17"/>
        <v>82.758696607852428</v>
      </c>
      <c r="AJ15" s="56">
        <f t="shared" si="18"/>
        <v>0</v>
      </c>
      <c r="AK15" s="51">
        <f t="shared" si="19"/>
        <v>82.758696607852428</v>
      </c>
      <c r="AL15" s="81">
        <f t="shared" si="20"/>
        <v>266228.91428571433</v>
      </c>
      <c r="AM15" s="79">
        <f t="shared" si="30"/>
        <v>22032.757945609384</v>
      </c>
      <c r="AN15"/>
      <c r="AO15" s="277">
        <f t="shared" si="21"/>
        <v>931801.2</v>
      </c>
      <c r="AP15" s="117">
        <f t="shared" si="22"/>
        <v>89650.766508186498</v>
      </c>
      <c r="BN15" s="50" t="s">
        <v>43</v>
      </c>
    </row>
    <row r="16" spans="1:66" ht="15" customHeight="1" x14ac:dyDescent="0.2">
      <c r="A16" s="166">
        <f t="shared" si="23"/>
        <v>2024</v>
      </c>
      <c r="B16" s="178">
        <f t="shared" si="24"/>
        <v>165</v>
      </c>
      <c r="C16" s="170">
        <f t="shared" si="7"/>
        <v>963600</v>
      </c>
      <c r="D16" s="167">
        <f t="shared" si="8"/>
        <v>688285.71428571432</v>
      </c>
      <c r="E16" s="168">
        <f t="shared" si="9"/>
        <v>275314.28571428574</v>
      </c>
      <c r="F16" s="169">
        <f t="shared" si="25"/>
        <v>3.3000000000000002E-2</v>
      </c>
      <c r="G16" s="166">
        <f t="shared" si="26"/>
        <v>2024</v>
      </c>
      <c r="H16" s="170">
        <f t="shared" si="0"/>
        <v>931801.2</v>
      </c>
      <c r="I16" s="167">
        <f t="shared" si="1"/>
        <v>665572.28571428568</v>
      </c>
      <c r="J16" s="168">
        <f t="shared" si="2"/>
        <v>266228.91428571433</v>
      </c>
      <c r="K16" s="110"/>
      <c r="L16" s="106">
        <f ca="1"/>
        <v>58.204369230397781</v>
      </c>
      <c r="N16" s="265">
        <f>Inputs!$C$21*(1+Inputs!$C$23)^('Firm Purchase Revenue Reqmnt'!A16-Inputs!$C$22)</f>
        <v>41.870735890451115</v>
      </c>
      <c r="O16" s="265">
        <f>Inputs!$C$24*(1+Inputs!$C$26)^('Firm Purchase Revenue Reqmnt'!A16-Inputs!$C$25)</f>
        <v>5.5865501382054994</v>
      </c>
      <c r="P16" s="131">
        <f t="shared" si="27"/>
        <v>500</v>
      </c>
      <c r="Q16" s="108">
        <f t="shared" si="10"/>
        <v>23.728643014328306</v>
      </c>
      <c r="R16" s="130"/>
      <c r="S16" s="108">
        <f t="shared" ca="1" si="3"/>
        <v>81.933012244726086</v>
      </c>
      <c r="T16"/>
      <c r="U16" s="51">
        <f>VLOOKUP($A16,'ESAI - Q3 - Base Case'!$A$346:$N$400,9)*(1+$U$8)</f>
        <v>79.703463667080015</v>
      </c>
      <c r="V16" s="51">
        <f>VLOOKUP($A16,'ESAI - Q3 - Base Case'!$D$406:$N$455,11)</f>
        <v>22.700342465753423</v>
      </c>
      <c r="W16" s="51">
        <f t="shared" si="28"/>
        <v>1.7803835476085124</v>
      </c>
      <c r="X16" s="51">
        <f t="shared" si="11"/>
        <v>100.62342258522493</v>
      </c>
      <c r="Y16" s="51">
        <f t="shared" si="12"/>
        <v>103.64212526278168</v>
      </c>
      <c r="Z16" s="56"/>
      <c r="AA16" s="51">
        <f t="shared" si="13"/>
        <v>103.64212526278168</v>
      </c>
      <c r="AB16" s="81">
        <f t="shared" si="5"/>
        <v>665572.28571428568</v>
      </c>
      <c r="AC16" s="79">
        <f t="shared" si="29"/>
        <v>68981.326207435908</v>
      </c>
      <c r="AD16"/>
      <c r="AE16" s="51">
        <f>VLOOKUP($A16,'ESAI - Q3 - Base Case'!$A$346:$N$400,10)*(1+$AE$8)</f>
        <v>61.05123892263002</v>
      </c>
      <c r="AF16" s="51">
        <f t="shared" si="14"/>
        <v>22.700342465753423</v>
      </c>
      <c r="AG16" s="51">
        <f t="shared" si="15"/>
        <v>1.7803835476085124</v>
      </c>
      <c r="AH16" s="51">
        <f t="shared" si="16"/>
        <v>81.971197840774934</v>
      </c>
      <c r="AI16" s="51">
        <f t="shared" si="17"/>
        <v>84.430333775998179</v>
      </c>
      <c r="AJ16" s="56">
        <f t="shared" si="18"/>
        <v>0</v>
      </c>
      <c r="AK16" s="51">
        <f t="shared" si="19"/>
        <v>84.430333775998179</v>
      </c>
      <c r="AL16" s="81">
        <f t="shared" si="20"/>
        <v>266228.91428571433</v>
      </c>
      <c r="AM16" s="79">
        <f t="shared" si="30"/>
        <v>22477.796093964473</v>
      </c>
      <c r="AN16"/>
      <c r="AO16" s="277">
        <f t="shared" si="21"/>
        <v>931801.2</v>
      </c>
      <c r="AP16" s="117">
        <f t="shared" si="22"/>
        <v>91459.122301400377</v>
      </c>
      <c r="BN16" s="50" t="s">
        <v>43</v>
      </c>
    </row>
    <row r="17" spans="1:66" ht="15" customHeight="1" x14ac:dyDescent="0.2">
      <c r="A17" s="166">
        <f t="shared" si="23"/>
        <v>2025</v>
      </c>
      <c r="B17" s="178">
        <f t="shared" si="24"/>
        <v>165</v>
      </c>
      <c r="C17" s="170">
        <f t="shared" si="7"/>
        <v>963600</v>
      </c>
      <c r="D17" s="167">
        <f t="shared" si="8"/>
        <v>688285.71428571432</v>
      </c>
      <c r="E17" s="168">
        <f t="shared" si="9"/>
        <v>275314.28571428574</v>
      </c>
      <c r="F17" s="169">
        <f t="shared" si="25"/>
        <v>3.3000000000000002E-2</v>
      </c>
      <c r="G17" s="166">
        <f t="shared" si="26"/>
        <v>2025</v>
      </c>
      <c r="H17" s="170">
        <f t="shared" si="0"/>
        <v>931801.2</v>
      </c>
      <c r="I17" s="167">
        <f t="shared" si="1"/>
        <v>665572.28571428568</v>
      </c>
      <c r="J17" s="168">
        <f t="shared" si="2"/>
        <v>266228.91428571433</v>
      </c>
      <c r="K17" s="110"/>
      <c r="L17" s="106">
        <f ca="1"/>
        <v>58.01421283865195</v>
      </c>
      <c r="N17" s="265">
        <f>Inputs!$C$21*(1+Inputs!$C$23)^('Firm Purchase Revenue Reqmnt'!A17-Inputs!$C$22)</f>
        <v>42.292792908226858</v>
      </c>
      <c r="O17" s="265">
        <f>Inputs!$C$24*(1+Inputs!$C$26)^('Firm Purchase Revenue Reqmnt'!A17-Inputs!$C$25)</f>
        <v>5.6418569845737343</v>
      </c>
      <c r="P17" s="131">
        <f t="shared" si="27"/>
        <v>500</v>
      </c>
      <c r="Q17" s="108">
        <f t="shared" si="10"/>
        <v>23.967324946400296</v>
      </c>
      <c r="R17" s="130"/>
      <c r="S17" s="108">
        <f t="shared" ca="1" si="3"/>
        <v>81.98153778505224</v>
      </c>
      <c r="T17"/>
      <c r="U17" s="51">
        <f>VLOOKUP($A17,'ESAI - Q3 - Base Case'!$A$346:$N$400,9)*(1+$U$8)</f>
        <v>81.297532940421618</v>
      </c>
      <c r="V17" s="51">
        <f>VLOOKUP($A17,'ESAI - Q3 - Base Case'!$D$406:$N$455,11)</f>
        <v>23.148972602739722</v>
      </c>
      <c r="W17" s="51">
        <f t="shared" si="28"/>
        <v>1.7981873830845976</v>
      </c>
      <c r="X17" s="51">
        <f t="shared" si="11"/>
        <v>102.64831816007674</v>
      </c>
      <c r="Y17" s="51">
        <f t="shared" si="12"/>
        <v>105.72776770487904</v>
      </c>
      <c r="Z17" s="56"/>
      <c r="AA17" s="51">
        <f t="shared" si="13"/>
        <v>105.72776770487904</v>
      </c>
      <c r="AB17" s="81">
        <f t="shared" si="5"/>
        <v>665572.28571428568</v>
      </c>
      <c r="AC17" s="79">
        <f t="shared" si="29"/>
        <v>70369.472014805375</v>
      </c>
      <c r="AD17"/>
      <c r="AE17" s="51">
        <f>VLOOKUP($A17,'ESAI - Q3 - Base Case'!$A$346:$N$400,10)*(1+$AE$8)</f>
        <v>62.272263701082615</v>
      </c>
      <c r="AF17" s="51">
        <f t="shared" si="14"/>
        <v>23.148972602739722</v>
      </c>
      <c r="AG17" s="51">
        <f t="shared" si="15"/>
        <v>1.7981873830845976</v>
      </c>
      <c r="AH17" s="51">
        <f t="shared" si="16"/>
        <v>83.623048920737745</v>
      </c>
      <c r="AI17" s="51">
        <f t="shared" si="17"/>
        <v>86.131740388359873</v>
      </c>
      <c r="AJ17" s="56">
        <f t="shared" si="18"/>
        <v>0</v>
      </c>
      <c r="AK17" s="51">
        <f t="shared" si="19"/>
        <v>86.131740388359873</v>
      </c>
      <c r="AL17" s="81">
        <f t="shared" si="20"/>
        <v>266228.91428571433</v>
      </c>
      <c r="AM17" s="79">
        <f t="shared" si="30"/>
        <v>22930.75972913206</v>
      </c>
      <c r="AN17"/>
      <c r="AO17" s="277">
        <f t="shared" si="21"/>
        <v>931801.2</v>
      </c>
      <c r="AP17" s="117">
        <f t="shared" si="22"/>
        <v>93300.231743937431</v>
      </c>
      <c r="BN17" s="50" t="s">
        <v>43</v>
      </c>
    </row>
    <row r="18" spans="1:66" ht="15" customHeight="1" x14ac:dyDescent="0.2">
      <c r="A18" s="166">
        <f t="shared" si="23"/>
        <v>2026</v>
      </c>
      <c r="B18" s="178">
        <f t="shared" si="24"/>
        <v>165</v>
      </c>
      <c r="C18" s="170">
        <f t="shared" si="7"/>
        <v>963600</v>
      </c>
      <c r="D18" s="167">
        <f t="shared" si="8"/>
        <v>688285.71428571432</v>
      </c>
      <c r="E18" s="168">
        <f t="shared" si="9"/>
        <v>275314.28571428574</v>
      </c>
      <c r="F18" s="169">
        <f t="shared" si="25"/>
        <v>3.3000000000000002E-2</v>
      </c>
      <c r="G18" s="166">
        <f t="shared" si="26"/>
        <v>2026</v>
      </c>
      <c r="H18" s="170">
        <f t="shared" si="0"/>
        <v>931801.2</v>
      </c>
      <c r="I18" s="167">
        <f t="shared" si="1"/>
        <v>665572.28571428568</v>
      </c>
      <c r="J18" s="168">
        <f t="shared" si="2"/>
        <v>266228.91428571433</v>
      </c>
      <c r="K18" s="110"/>
      <c r="L18" s="106">
        <f ca="1"/>
        <v>57.733496316931756</v>
      </c>
      <c r="N18" s="265">
        <f>Inputs!$C$21*(1+Inputs!$C$23)^('Firm Purchase Revenue Reqmnt'!A18-Inputs!$C$22)</f>
        <v>42.719104260741787</v>
      </c>
      <c r="O18" s="265">
        <f>Inputs!$C$24*(1+Inputs!$C$26)^('Firm Purchase Revenue Reqmnt'!A18-Inputs!$C$25)</f>
        <v>5.6977113687210137</v>
      </c>
      <c r="P18" s="131">
        <f t="shared" si="27"/>
        <v>500</v>
      </c>
      <c r="Q18" s="108">
        <f t="shared" si="10"/>
        <v>24.208407814731402</v>
      </c>
      <c r="R18" s="130"/>
      <c r="S18" s="108">
        <f t="shared" ca="1" si="3"/>
        <v>81.941904131663165</v>
      </c>
      <c r="T18"/>
      <c r="U18" s="51">
        <f>VLOOKUP($A18,'ESAI - Q3 - Base Case'!$A$346:$N$400,9)*(1+$U$8)</f>
        <v>82.923483599230053</v>
      </c>
      <c r="V18" s="51">
        <f>VLOOKUP($A18,'ESAI - Q3 - Base Case'!$D$406:$N$455,11)</f>
        <v>23.606469081725756</v>
      </c>
      <c r="W18" s="51">
        <f t="shared" si="28"/>
        <v>1.8161692569154435</v>
      </c>
      <c r="X18" s="51">
        <f t="shared" si="11"/>
        <v>104.71378342404036</v>
      </c>
      <c r="Y18" s="51">
        <f t="shared" si="12"/>
        <v>107.85519692676156</v>
      </c>
      <c r="Z18" s="56"/>
      <c r="AA18" s="51">
        <f t="shared" si="13"/>
        <v>107.85519692676156</v>
      </c>
      <c r="AB18" s="81">
        <f t="shared" si="5"/>
        <v>665572.28571428568</v>
      </c>
      <c r="AC18" s="79">
        <f t="shared" si="29"/>
        <v>71785.429944709089</v>
      </c>
      <c r="AD18"/>
      <c r="AE18" s="51">
        <f>VLOOKUP($A18,'ESAI - Q3 - Base Case'!$A$346:$N$400,10)*(1+$AE$8)</f>
        <v>63.51770897510427</v>
      </c>
      <c r="AF18" s="51">
        <f t="shared" si="14"/>
        <v>23.606469081725756</v>
      </c>
      <c r="AG18" s="51">
        <f t="shared" si="15"/>
        <v>1.8161692569154435</v>
      </c>
      <c r="AH18" s="51">
        <f t="shared" si="16"/>
        <v>85.308008799914589</v>
      </c>
      <c r="AI18" s="51">
        <f t="shared" si="17"/>
        <v>87.867249063912027</v>
      </c>
      <c r="AJ18" s="56">
        <f t="shared" si="18"/>
        <v>0</v>
      </c>
      <c r="AK18" s="51">
        <f t="shared" si="19"/>
        <v>87.867249063912027</v>
      </c>
      <c r="AL18" s="81">
        <f t="shared" si="20"/>
        <v>266228.91428571433</v>
      </c>
      <c r="AM18" s="79">
        <f t="shared" si="30"/>
        <v>23392.802319557748</v>
      </c>
      <c r="AN18"/>
      <c r="AO18" s="277">
        <f t="shared" si="21"/>
        <v>931801.2</v>
      </c>
      <c r="AP18" s="117">
        <f t="shared" si="22"/>
        <v>95178.232264266844</v>
      </c>
      <c r="BN18" s="50" t="s">
        <v>43</v>
      </c>
    </row>
    <row r="19" spans="1:66" ht="15" customHeight="1" x14ac:dyDescent="0.2">
      <c r="A19" s="166">
        <f t="shared" si="23"/>
        <v>2027</v>
      </c>
      <c r="B19" s="178">
        <f t="shared" si="24"/>
        <v>165</v>
      </c>
      <c r="C19" s="170">
        <f t="shared" si="7"/>
        <v>963600</v>
      </c>
      <c r="D19" s="167">
        <f t="shared" si="8"/>
        <v>688285.71428571432</v>
      </c>
      <c r="E19" s="168">
        <f t="shared" si="9"/>
        <v>275314.28571428574</v>
      </c>
      <c r="F19" s="169">
        <f t="shared" si="25"/>
        <v>3.3000000000000002E-2</v>
      </c>
      <c r="G19" s="166">
        <f t="shared" si="26"/>
        <v>2027</v>
      </c>
      <c r="H19" s="170">
        <f t="shared" si="0"/>
        <v>931801.2</v>
      </c>
      <c r="I19" s="167">
        <f t="shared" si="1"/>
        <v>665572.28571428568</v>
      </c>
      <c r="J19" s="168">
        <f t="shared" si="2"/>
        <v>266228.91428571433</v>
      </c>
      <c r="K19" s="110"/>
      <c r="L19" s="106">
        <f ca="1"/>
        <v>57.369464475635191</v>
      </c>
      <c r="N19" s="265">
        <f>Inputs!$C$21*(1+Inputs!$C$23)^('Firm Purchase Revenue Reqmnt'!A19-Inputs!$C$22)</f>
        <v>43.149712831690067</v>
      </c>
      <c r="O19" s="265">
        <f>Inputs!$C$24*(1+Inputs!$C$26)^('Firm Purchase Revenue Reqmnt'!A19-Inputs!$C$25)</f>
        <v>5.7541187112713539</v>
      </c>
      <c r="P19" s="131">
        <f t="shared" si="27"/>
        <v>500</v>
      </c>
      <c r="Q19" s="108">
        <f t="shared" si="10"/>
        <v>24.45191577148071</v>
      </c>
      <c r="R19" s="130"/>
      <c r="S19" s="108">
        <f t="shared" ca="1" si="3"/>
        <v>81.821380247115897</v>
      </c>
      <c r="T19"/>
      <c r="U19" s="51">
        <f>VLOOKUP($A19,'ESAI - Q3 - Base Case'!$A$346:$N$400,9)*(1+$U$8)</f>
        <v>84.581953271214644</v>
      </c>
      <c r="V19" s="51">
        <f>VLOOKUP($A19,'ESAI - Q3 - Base Case'!$D$406:$N$455,11)</f>
        <v>24.073007129505211</v>
      </c>
      <c r="W19" s="51">
        <f t="shared" si="28"/>
        <v>1.8343309494845979</v>
      </c>
      <c r="X19" s="51">
        <f t="shared" si="11"/>
        <v>106.82062945123526</v>
      </c>
      <c r="Y19" s="51">
        <f t="shared" si="12"/>
        <v>110.02524833477233</v>
      </c>
      <c r="Z19" s="56"/>
      <c r="AA19" s="51">
        <f t="shared" si="13"/>
        <v>110.02524833477233</v>
      </c>
      <c r="AB19" s="81">
        <f t="shared" si="5"/>
        <v>665572.28571428568</v>
      </c>
      <c r="AC19" s="79">
        <f t="shared" si="29"/>
        <v>73229.756020456334</v>
      </c>
      <c r="AD19"/>
      <c r="AE19" s="51">
        <f>VLOOKUP($A19,'ESAI - Q3 - Base Case'!$A$346:$N$400,10)*(1+$AE$8)</f>
        <v>64.788063154606348</v>
      </c>
      <c r="AF19" s="51">
        <f t="shared" si="14"/>
        <v>24.073007129505211</v>
      </c>
      <c r="AG19" s="51">
        <f t="shared" si="15"/>
        <v>1.8343309494845979</v>
      </c>
      <c r="AH19" s="51">
        <f t="shared" si="16"/>
        <v>87.026739334626967</v>
      </c>
      <c r="AI19" s="51">
        <f t="shared" si="17"/>
        <v>89.637541514665784</v>
      </c>
      <c r="AJ19" s="56">
        <f t="shared" si="18"/>
        <v>0</v>
      </c>
      <c r="AK19" s="51">
        <f t="shared" si="19"/>
        <v>89.637541514665784</v>
      </c>
      <c r="AL19" s="81">
        <f t="shared" si="20"/>
        <v>266228.91428571433</v>
      </c>
      <c r="AM19" s="79">
        <f t="shared" si="30"/>
        <v>23864.105356690117</v>
      </c>
      <c r="AN19"/>
      <c r="AO19" s="277">
        <f t="shared" si="21"/>
        <v>931801.2</v>
      </c>
      <c r="AP19" s="117">
        <f t="shared" si="22"/>
        <v>97093.861377146444</v>
      </c>
      <c r="BN19" s="50" t="s">
        <v>43</v>
      </c>
    </row>
    <row r="20" spans="1:66" ht="15" customHeight="1" x14ac:dyDescent="0.2">
      <c r="A20" s="166">
        <f t="shared" si="23"/>
        <v>2028</v>
      </c>
      <c r="B20" s="178">
        <f t="shared" si="24"/>
        <v>165</v>
      </c>
      <c r="C20" s="170">
        <f t="shared" si="7"/>
        <v>963600</v>
      </c>
      <c r="D20" s="167">
        <f t="shared" si="8"/>
        <v>688285.71428571432</v>
      </c>
      <c r="E20" s="168">
        <f t="shared" si="9"/>
        <v>275314.28571428574</v>
      </c>
      <c r="F20" s="169">
        <f t="shared" si="25"/>
        <v>3.3000000000000002E-2</v>
      </c>
      <c r="G20" s="166">
        <f t="shared" si="26"/>
        <v>2028</v>
      </c>
      <c r="H20" s="170">
        <f t="shared" si="0"/>
        <v>931801.2</v>
      </c>
      <c r="I20" s="167">
        <f t="shared" si="1"/>
        <v>665572.28571428568</v>
      </c>
      <c r="J20" s="168">
        <f t="shared" si="2"/>
        <v>266228.91428571433</v>
      </c>
      <c r="K20" s="110"/>
      <c r="L20" s="106">
        <f ca="1"/>
        <v>56.928782540328335</v>
      </c>
      <c r="N20" s="265">
        <f>Inputs!$C$21*(1+Inputs!$C$23)^('Firm Purchase Revenue Reqmnt'!A20-Inputs!$C$22)</f>
        <v>43.584661937033509</v>
      </c>
      <c r="O20" s="265">
        <f>Inputs!$C$24*(1+Inputs!$C$26)^('Firm Purchase Revenue Reqmnt'!A20-Inputs!$C$25)</f>
        <v>5.8110844865129403</v>
      </c>
      <c r="P20" s="131">
        <f t="shared" si="27"/>
        <v>500</v>
      </c>
      <c r="Q20" s="108">
        <f t="shared" si="10"/>
        <v>24.697873211773224</v>
      </c>
      <c r="R20" s="130"/>
      <c r="S20" s="108">
        <f t="shared" ca="1" si="3"/>
        <v>81.626655752101556</v>
      </c>
      <c r="T20"/>
      <c r="U20" s="51">
        <f>VLOOKUP($A20,'ESAI - Q3 - Base Case'!$A$346:$N$400,9)*(1+$U$8)</f>
        <v>86.273592336638941</v>
      </c>
      <c r="V20" s="51">
        <f>VLOOKUP($A20,'ESAI - Q3 - Base Case'!$D$406:$N$455,11)</f>
        <v>24.548765435904119</v>
      </c>
      <c r="W20" s="51">
        <f t="shared" si="28"/>
        <v>1.8526742589794438</v>
      </c>
      <c r="X20" s="51">
        <f t="shared" si="11"/>
        <v>108.96968351356361</v>
      </c>
      <c r="Y20" s="51">
        <f t="shared" si="12"/>
        <v>112.23877401897052</v>
      </c>
      <c r="Z20" s="56"/>
      <c r="AA20" s="51">
        <f t="shared" si="13"/>
        <v>112.23877401897052</v>
      </c>
      <c r="AB20" s="81">
        <f t="shared" si="5"/>
        <v>665572.28571428568</v>
      </c>
      <c r="AC20" s="79">
        <f t="shared" si="29"/>
        <v>74703.017369575391</v>
      </c>
      <c r="AD20"/>
      <c r="AE20" s="51">
        <f>VLOOKUP($A20,'ESAI - Q3 - Base Case'!$A$346:$N$400,10)*(1+$AE$8)</f>
        <v>66.08382441769848</v>
      </c>
      <c r="AF20" s="51">
        <f t="shared" si="14"/>
        <v>24.548765435904119</v>
      </c>
      <c r="AG20" s="51">
        <f t="shared" si="15"/>
        <v>1.8526742589794438</v>
      </c>
      <c r="AH20" s="51">
        <f t="shared" si="16"/>
        <v>88.779915594623148</v>
      </c>
      <c r="AI20" s="51">
        <f t="shared" si="17"/>
        <v>91.44331306246184</v>
      </c>
      <c r="AJ20" s="56">
        <f t="shared" si="18"/>
        <v>0</v>
      </c>
      <c r="AK20" s="51">
        <f t="shared" si="19"/>
        <v>91.44331306246184</v>
      </c>
      <c r="AL20" s="81">
        <f t="shared" si="20"/>
        <v>266228.91428571433</v>
      </c>
      <c r="AM20" s="79">
        <f t="shared" si="30"/>
        <v>24344.853955307892</v>
      </c>
      <c r="AN20"/>
      <c r="AO20" s="277">
        <f t="shared" si="21"/>
        <v>931801.2</v>
      </c>
      <c r="AP20" s="117">
        <f t="shared" si="22"/>
        <v>99047.871324883279</v>
      </c>
      <c r="BN20" s="50" t="s">
        <v>43</v>
      </c>
    </row>
    <row r="21" spans="1:66" ht="15" customHeight="1" x14ac:dyDescent="0.2">
      <c r="A21" s="166">
        <f t="shared" si="23"/>
        <v>2029</v>
      </c>
      <c r="B21" s="178">
        <f t="shared" si="24"/>
        <v>165</v>
      </c>
      <c r="C21" s="170">
        <f t="shared" si="7"/>
        <v>963600</v>
      </c>
      <c r="D21" s="167">
        <f t="shared" si="8"/>
        <v>688285.71428571432</v>
      </c>
      <c r="E21" s="168">
        <f t="shared" si="9"/>
        <v>275314.28571428574</v>
      </c>
      <c r="F21" s="169">
        <f t="shared" si="25"/>
        <v>3.3000000000000002E-2</v>
      </c>
      <c r="G21" s="166">
        <f t="shared" si="26"/>
        <v>2029</v>
      </c>
      <c r="H21" s="170">
        <f t="shared" si="0"/>
        <v>931801.2</v>
      </c>
      <c r="I21" s="167">
        <f t="shared" si="1"/>
        <v>665572.28571428568</v>
      </c>
      <c r="J21" s="168">
        <f t="shared" si="2"/>
        <v>266228.91428571433</v>
      </c>
      <c r="K21" s="110"/>
      <c r="L21" s="106">
        <f ca="1"/>
        <v>56.417582518532015</v>
      </c>
      <c r="N21" s="265">
        <f>Inputs!$C$21*(1+Inputs!$C$23)^('Firm Purchase Revenue Reqmnt'!A21-Inputs!$C$22)</f>
        <v>44.023995329358804</v>
      </c>
      <c r="O21" s="265">
        <f>Inputs!$C$24*(1+Inputs!$C$26)^('Firm Purchase Revenue Reqmnt'!A21-Inputs!$C$25)</f>
        <v>5.868614222929418</v>
      </c>
      <c r="P21" s="131">
        <f t="shared" si="27"/>
        <v>500</v>
      </c>
      <c r="Q21" s="108">
        <f t="shared" si="10"/>
        <v>24.94630477614411</v>
      </c>
      <c r="R21" s="130"/>
      <c r="S21" s="108">
        <f t="shared" ca="1" si="3"/>
        <v>81.363887294676118</v>
      </c>
      <c r="T21"/>
      <c r="U21" s="51">
        <f>VLOOKUP($A21,'ESAI - Q3 - Base Case'!$A$346:$N$400,9)*(1+$U$8)</f>
        <v>87.999064183371729</v>
      </c>
      <c r="V21" s="51">
        <f>VLOOKUP($A21,'ESAI - Q3 - Base Case'!$D$406:$N$455,11)</f>
        <v>25.033926222221304</v>
      </c>
      <c r="W21" s="51">
        <f t="shared" si="28"/>
        <v>1.8712010015692382</v>
      </c>
      <c r="X21" s="51">
        <f t="shared" si="11"/>
        <v>111.16178940402381</v>
      </c>
      <c r="Y21" s="51">
        <f t="shared" si="12"/>
        <v>114.49664308614453</v>
      </c>
      <c r="Z21" s="56"/>
      <c r="AA21" s="51">
        <f t="shared" si="13"/>
        <v>114.49664308614453</v>
      </c>
      <c r="AB21" s="81">
        <f t="shared" si="5"/>
        <v>665572.28571428568</v>
      </c>
      <c r="AC21" s="79">
        <f t="shared" si="29"/>
        <v>76205.792445457977</v>
      </c>
      <c r="AD21"/>
      <c r="AE21" s="51">
        <f>VLOOKUP($A21,'ESAI - Q3 - Base Case'!$A$346:$N$400,10)*(1+$AE$8)</f>
        <v>67.405500906052453</v>
      </c>
      <c r="AF21" s="51">
        <f t="shared" si="14"/>
        <v>25.033926222221304</v>
      </c>
      <c r="AG21" s="51">
        <f t="shared" si="15"/>
        <v>1.8712010015692382</v>
      </c>
      <c r="AH21" s="51">
        <f t="shared" si="16"/>
        <v>90.568226126704531</v>
      </c>
      <c r="AI21" s="51">
        <f t="shared" si="17"/>
        <v>93.285272910505668</v>
      </c>
      <c r="AJ21" s="56">
        <f t="shared" si="18"/>
        <v>0</v>
      </c>
      <c r="AK21" s="51">
        <f t="shared" si="19"/>
        <v>93.285272910505668</v>
      </c>
      <c r="AL21" s="81">
        <f t="shared" si="20"/>
        <v>266228.91428571433</v>
      </c>
      <c r="AM21" s="79">
        <f t="shared" si="30"/>
        <v>24835.236925810481</v>
      </c>
      <c r="AN21"/>
      <c r="AO21" s="277">
        <f t="shared" si="21"/>
        <v>931801.2</v>
      </c>
      <c r="AP21" s="117">
        <f t="shared" si="22"/>
        <v>101041.02937126847</v>
      </c>
      <c r="BN21" s="50" t="s">
        <v>43</v>
      </c>
    </row>
    <row r="22" spans="1:66" ht="15" customHeight="1" x14ac:dyDescent="0.2">
      <c r="A22" s="166">
        <f t="shared" si="23"/>
        <v>2030</v>
      </c>
      <c r="B22" s="178">
        <f t="shared" si="24"/>
        <v>165</v>
      </c>
      <c r="C22" s="170">
        <f t="shared" si="7"/>
        <v>963600</v>
      </c>
      <c r="D22" s="167">
        <f t="shared" si="8"/>
        <v>688285.71428571432</v>
      </c>
      <c r="E22" s="168">
        <f t="shared" si="9"/>
        <v>275314.28571428574</v>
      </c>
      <c r="F22" s="169">
        <f t="shared" si="25"/>
        <v>3.3000000000000002E-2</v>
      </c>
      <c r="G22" s="166">
        <f t="shared" si="26"/>
        <v>2030</v>
      </c>
      <c r="H22" s="170">
        <f t="shared" si="0"/>
        <v>931801.2</v>
      </c>
      <c r="I22" s="167">
        <f t="shared" si="1"/>
        <v>665572.28571428568</v>
      </c>
      <c r="J22" s="168">
        <f t="shared" si="2"/>
        <v>266228.91428571433</v>
      </c>
      <c r="K22" s="110"/>
      <c r="L22" s="106">
        <f ca="1"/>
        <v>55.841505857165394</v>
      </c>
      <c r="N22" s="265">
        <f>Inputs!$C$21*(1+Inputs!$C$23)^('Firm Purchase Revenue Reqmnt'!A22-Inputs!$C$22)</f>
        <v>44.467757202278747</v>
      </c>
      <c r="O22" s="265">
        <f>Inputs!$C$24*(1+Inputs!$C$26)^('Firm Purchase Revenue Reqmnt'!A22-Inputs!$C$25)</f>
        <v>5.9267135037364191</v>
      </c>
      <c r="P22" s="131">
        <f t="shared" si="27"/>
        <v>500</v>
      </c>
      <c r="Q22" s="108">
        <f t="shared" si="10"/>
        <v>25.197235353007585</v>
      </c>
      <c r="R22" s="130"/>
      <c r="S22" s="108">
        <f t="shared" ca="1" si="3"/>
        <v>81.038741210172986</v>
      </c>
      <c r="T22"/>
      <c r="U22" s="51">
        <f>VLOOKUP($A22,'ESAI - Q3 - Base Case'!$A$346:$N$400,9)*(1+$U$8)</f>
        <v>89.759045467039158</v>
      </c>
      <c r="V22" s="51">
        <f>VLOOKUP($A22,'ESAI - Q3 - Base Case'!$D$406:$N$455,11)</f>
        <v>25.528675311021331</v>
      </c>
      <c r="W22" s="51">
        <f t="shared" si="28"/>
        <v>1.8899130115849305</v>
      </c>
      <c r="X22" s="51">
        <f t="shared" si="11"/>
        <v>113.39780776647555</v>
      </c>
      <c r="Y22" s="51">
        <f t="shared" si="12"/>
        <v>116.79974199946982</v>
      </c>
      <c r="Z22" s="56"/>
      <c r="AA22" s="51">
        <f t="shared" si="13"/>
        <v>116.79974199946982</v>
      </c>
      <c r="AB22" s="81">
        <f t="shared" si="5"/>
        <v>665572.28571428568</v>
      </c>
      <c r="AC22" s="79">
        <f t="shared" si="29"/>
        <v>77738.671253425971</v>
      </c>
      <c r="AD22"/>
      <c r="AE22" s="51">
        <f>VLOOKUP($A22,'ESAI - Q3 - Base Case'!$A$346:$N$400,10)*(1+$AE$8)</f>
        <v>68.753610924173501</v>
      </c>
      <c r="AF22" s="51">
        <f t="shared" si="14"/>
        <v>25.528675311021331</v>
      </c>
      <c r="AG22" s="51">
        <f t="shared" si="15"/>
        <v>1.8899130115849305</v>
      </c>
      <c r="AH22" s="51">
        <f t="shared" si="16"/>
        <v>92.392373223609894</v>
      </c>
      <c r="AI22" s="51">
        <f t="shared" si="17"/>
        <v>95.164144420318195</v>
      </c>
      <c r="AJ22" s="56">
        <f t="shared" si="18"/>
        <v>0</v>
      </c>
      <c r="AK22" s="51">
        <f t="shared" si="19"/>
        <v>95.164144420318195</v>
      </c>
      <c r="AL22" s="81">
        <f t="shared" si="20"/>
        <v>266228.91428571433</v>
      </c>
      <c r="AM22" s="79">
        <f t="shared" si="30"/>
        <v>25335.446847950232</v>
      </c>
      <c r="AN22"/>
      <c r="AO22" s="277">
        <f t="shared" si="21"/>
        <v>931801.2</v>
      </c>
      <c r="AP22" s="117">
        <f t="shared" si="22"/>
        <v>103074.1181013762</v>
      </c>
      <c r="BN22" s="50" t="s">
        <v>43</v>
      </c>
    </row>
    <row r="23" spans="1:66" ht="15" customHeight="1" x14ac:dyDescent="0.2">
      <c r="A23" s="166">
        <f t="shared" si="23"/>
        <v>2031</v>
      </c>
      <c r="B23" s="178">
        <f t="shared" si="24"/>
        <v>165</v>
      </c>
      <c r="C23" s="170">
        <f t="shared" si="7"/>
        <v>963600</v>
      </c>
      <c r="D23" s="167">
        <f t="shared" si="8"/>
        <v>688285.71428571432</v>
      </c>
      <c r="E23" s="168">
        <f t="shared" si="9"/>
        <v>275314.28571428574</v>
      </c>
      <c r="F23" s="169">
        <f t="shared" si="25"/>
        <v>3.3000000000000002E-2</v>
      </c>
      <c r="G23" s="166">
        <f t="shared" si="26"/>
        <v>2031</v>
      </c>
      <c r="H23" s="170">
        <f t="shared" si="0"/>
        <v>931801.2</v>
      </c>
      <c r="I23" s="167">
        <f t="shared" si="1"/>
        <v>665572.28571428568</v>
      </c>
      <c r="J23" s="168">
        <f t="shared" si="2"/>
        <v>266228.91428571433</v>
      </c>
      <c r="K23" s="110"/>
      <c r="L23" s="106">
        <f ca="1"/>
        <v>55.205742687394078</v>
      </c>
      <c r="N23" s="265">
        <f>Inputs!$C$21*(1+Inputs!$C$23)^('Firm Purchase Revenue Reqmnt'!A23-Inputs!$C$22)</f>
        <v>44.915992194877717</v>
      </c>
      <c r="O23" s="265">
        <f>Inputs!$C$24*(1+Inputs!$C$26)^('Firm Purchase Revenue Reqmnt'!A23-Inputs!$C$25)</f>
        <v>5.9853879674234109</v>
      </c>
      <c r="P23" s="131">
        <f t="shared" si="27"/>
        <v>500</v>
      </c>
      <c r="Q23" s="108">
        <f t="shared" si="10"/>
        <v>25.450690081150565</v>
      </c>
      <c r="R23" s="130"/>
      <c r="S23" s="108">
        <f t="shared" ca="1" si="3"/>
        <v>80.656432768544647</v>
      </c>
      <c r="T23"/>
      <c r="U23" s="51">
        <f>VLOOKUP($A23,'ESAI - Q3 - Base Case'!$A$346:$N$400,9)*(1+$U$8)</f>
        <v>91.554226376379944</v>
      </c>
      <c r="V23" s="51">
        <f>VLOOKUP($A23,'ESAI - Q3 - Base Case'!$D$406:$N$455,11)</f>
        <v>26.033202197306888</v>
      </c>
      <c r="W23" s="51">
        <f t="shared" si="28"/>
        <v>1.90881214170078</v>
      </c>
      <c r="X23" s="51">
        <f t="shared" si="11"/>
        <v>115.67861643198606</v>
      </c>
      <c r="Y23" s="51">
        <f t="shared" si="12"/>
        <v>119.14897492494565</v>
      </c>
      <c r="Z23" s="56"/>
      <c r="AA23" s="51">
        <f t="shared" si="13"/>
        <v>119.14897492494565</v>
      </c>
      <c r="AB23" s="81">
        <f t="shared" si="5"/>
        <v>665572.28571428568</v>
      </c>
      <c r="AC23" s="79">
        <f t="shared" si="29"/>
        <v>79302.255581310179</v>
      </c>
      <c r="AD23"/>
      <c r="AE23" s="51">
        <f>VLOOKUP($A23,'ESAI - Q3 - Base Case'!$A$346:$N$400,10)*(1+$AE$8)</f>
        <v>70.128683142656982</v>
      </c>
      <c r="AF23" s="51">
        <f t="shared" si="14"/>
        <v>26.033202197306888</v>
      </c>
      <c r="AG23" s="51">
        <f t="shared" si="15"/>
        <v>1.90881214170078</v>
      </c>
      <c r="AH23" s="51">
        <f t="shared" si="16"/>
        <v>94.253073198263095</v>
      </c>
      <c r="AI23" s="51">
        <f t="shared" si="17"/>
        <v>97.080665394210996</v>
      </c>
      <c r="AJ23" s="56">
        <f t="shared" si="18"/>
        <v>0</v>
      </c>
      <c r="AK23" s="51">
        <f t="shared" si="19"/>
        <v>97.080665394210996</v>
      </c>
      <c r="AL23" s="81">
        <f t="shared" si="20"/>
        <v>266228.91428571433</v>
      </c>
      <c r="AM23" s="79">
        <f t="shared" si="30"/>
        <v>25845.680146035513</v>
      </c>
      <c r="AN23"/>
      <c r="AO23" s="277">
        <f t="shared" si="21"/>
        <v>931801.2</v>
      </c>
      <c r="AP23" s="117">
        <f t="shared" si="22"/>
        <v>105147.9357273457</v>
      </c>
      <c r="BN23" s="50" t="s">
        <v>43</v>
      </c>
    </row>
    <row r="24" spans="1:66" ht="15" customHeight="1" x14ac:dyDescent="0.2">
      <c r="A24" s="166">
        <f t="shared" si="23"/>
        <v>2032</v>
      </c>
      <c r="B24" s="178">
        <f t="shared" si="24"/>
        <v>165</v>
      </c>
      <c r="C24" s="170">
        <f t="shared" si="7"/>
        <v>963600</v>
      </c>
      <c r="D24" s="167">
        <f t="shared" si="8"/>
        <v>688285.71428571432</v>
      </c>
      <c r="E24" s="168">
        <f t="shared" si="9"/>
        <v>275314.28571428574</v>
      </c>
      <c r="F24" s="169">
        <f t="shared" si="25"/>
        <v>3.3000000000000002E-2</v>
      </c>
      <c r="G24" s="166">
        <f t="shared" si="26"/>
        <v>2032</v>
      </c>
      <c r="H24" s="170">
        <f t="shared" si="0"/>
        <v>931801.2</v>
      </c>
      <c r="I24" s="167">
        <f t="shared" si="1"/>
        <v>665572.28571428568</v>
      </c>
      <c r="J24" s="168">
        <f t="shared" si="2"/>
        <v>266228.91428571433</v>
      </c>
      <c r="K24" s="110"/>
      <c r="L24" s="106">
        <f ca="1"/>
        <v>54.515067929890478</v>
      </c>
      <c r="N24" s="265">
        <f>Inputs!$C$21*(1+Inputs!$C$23)^('Firm Purchase Revenue Reqmnt'!A24-Inputs!$C$22)</f>
        <v>45.368745396202087</v>
      </c>
      <c r="O24" s="265">
        <f>Inputs!$C$24*(1+Inputs!$C$26)^('Firm Purchase Revenue Reqmnt'!A24-Inputs!$C$25)</f>
        <v>6.0446433083009028</v>
      </c>
      <c r="P24" s="131">
        <f t="shared" si="27"/>
        <v>500</v>
      </c>
      <c r="Q24" s="108">
        <f t="shared" si="10"/>
        <v>25.706694352251496</v>
      </c>
      <c r="R24" s="130"/>
      <c r="S24" s="108">
        <f t="shared" ca="1" si="3"/>
        <v>80.221762282141981</v>
      </c>
      <c r="T24"/>
      <c r="U24" s="51">
        <f>VLOOKUP($A24,'ESAI - Q3 - Base Case'!$A$346:$N$400,9)*(1+$U$8)</f>
        <v>93.385310903907538</v>
      </c>
      <c r="V24" s="51">
        <f>VLOOKUP($A24,'ESAI - Q3 - Base Case'!$D$406:$N$455,11)</f>
        <v>26.547700121097673</v>
      </c>
      <c r="W24" s="51">
        <f t="shared" si="28"/>
        <v>1.9279002631177877</v>
      </c>
      <c r="X24" s="51">
        <f t="shared" si="11"/>
        <v>118.00511076188742</v>
      </c>
      <c r="Y24" s="51">
        <f t="shared" si="12"/>
        <v>121.54526408474405</v>
      </c>
      <c r="Z24" s="56"/>
      <c r="AA24" s="51">
        <f t="shared" si="13"/>
        <v>121.54526408474405</v>
      </c>
      <c r="AB24" s="81">
        <f t="shared" si="5"/>
        <v>665572.28571428568</v>
      </c>
      <c r="AC24" s="79">
        <f t="shared" si="29"/>
        <v>80897.159234629566</v>
      </c>
      <c r="AD24"/>
      <c r="AE24" s="51">
        <f>VLOOKUP($A24,'ESAI - Q3 - Base Case'!$A$346:$N$400,10)*(1+$AE$8)</f>
        <v>71.531256805510125</v>
      </c>
      <c r="AF24" s="51">
        <f t="shared" si="14"/>
        <v>26.547700121097673</v>
      </c>
      <c r="AG24" s="51">
        <f t="shared" si="15"/>
        <v>1.9279002631177877</v>
      </c>
      <c r="AH24" s="51">
        <f t="shared" si="16"/>
        <v>96.15105666349001</v>
      </c>
      <c r="AI24" s="51">
        <f t="shared" si="17"/>
        <v>99.035588363394709</v>
      </c>
      <c r="AJ24" s="56">
        <f t="shared" si="18"/>
        <v>0</v>
      </c>
      <c r="AK24" s="51">
        <f t="shared" si="19"/>
        <v>99.035588363394709</v>
      </c>
      <c r="AL24" s="81">
        <f t="shared" si="20"/>
        <v>266228.91428571433</v>
      </c>
      <c r="AM24" s="79">
        <f t="shared" si="30"/>
        <v>26366.137165633496</v>
      </c>
      <c r="AN24"/>
      <c r="AO24" s="277">
        <f t="shared" si="21"/>
        <v>931801.2</v>
      </c>
      <c r="AP24" s="117">
        <f t="shared" si="22"/>
        <v>107263.29640026306</v>
      </c>
      <c r="BN24" s="50" t="s">
        <v>43</v>
      </c>
    </row>
    <row r="25" spans="1:66" ht="15" customHeight="1" x14ac:dyDescent="0.2">
      <c r="A25" s="166">
        <f t="shared" si="23"/>
        <v>2033</v>
      </c>
      <c r="B25" s="178">
        <f t="shared" si="24"/>
        <v>165</v>
      </c>
      <c r="C25" s="170">
        <f t="shared" si="7"/>
        <v>963600</v>
      </c>
      <c r="D25" s="167">
        <f t="shared" si="8"/>
        <v>688285.71428571432</v>
      </c>
      <c r="E25" s="168">
        <f t="shared" si="9"/>
        <v>275314.28571428574</v>
      </c>
      <c r="F25" s="169">
        <f t="shared" si="25"/>
        <v>3.3000000000000002E-2</v>
      </c>
      <c r="G25" s="166">
        <f t="shared" si="26"/>
        <v>2033</v>
      </c>
      <c r="H25" s="170">
        <f t="shared" si="0"/>
        <v>931801.2</v>
      </c>
      <c r="I25" s="167">
        <f t="shared" si="1"/>
        <v>665572.28571428568</v>
      </c>
      <c r="J25" s="168">
        <f t="shared" si="2"/>
        <v>266228.91428571433</v>
      </c>
      <c r="K25" s="110"/>
      <c r="L25" s="106">
        <f ca="1"/>
        <v>53.773874511673149</v>
      </c>
      <c r="N25" s="265">
        <f>Inputs!$C$21*(1+Inputs!$C$23)^('Firm Purchase Revenue Reqmnt'!A25-Inputs!$C$22)</f>
        <v>45.826062349795805</v>
      </c>
      <c r="O25" s="265">
        <f>Inputs!$C$24*(1+Inputs!$C$26)^('Firm Purchase Revenue Reqmnt'!A25-Inputs!$C$25)</f>
        <v>6.1044852770530831</v>
      </c>
      <c r="P25" s="131">
        <f t="shared" si="27"/>
        <v>500</v>
      </c>
      <c r="Q25" s="108">
        <f t="shared" si="10"/>
        <v>25.965273813424446</v>
      </c>
      <c r="R25" s="130"/>
      <c r="S25" s="108">
        <f t="shared" ca="1" si="3"/>
        <v>79.739148325097602</v>
      </c>
      <c r="T25"/>
      <c r="U25" s="51">
        <f>VLOOKUP($A25,'ESAI - Q3 - Base Case'!$A$346:$N$400,9)*(1+$U$8)</f>
        <v>95.253017121985692</v>
      </c>
      <c r="V25" s="51">
        <f>VLOOKUP($A25,'ESAI - Q3 - Base Case'!$D$406:$N$455,11)</f>
        <v>27.072366141443727</v>
      </c>
      <c r="W25" s="51">
        <f t="shared" si="28"/>
        <v>1.9471792657489657</v>
      </c>
      <c r="X25" s="51">
        <f t="shared" si="11"/>
        <v>120.37820399768044</v>
      </c>
      <c r="Y25" s="51">
        <f t="shared" si="12"/>
        <v>123.98955011761086</v>
      </c>
      <c r="Z25" s="56"/>
      <c r="AA25" s="51">
        <f t="shared" si="13"/>
        <v>123.98955011761086</v>
      </c>
      <c r="AB25" s="81">
        <f t="shared" si="5"/>
        <v>665572.28571428568</v>
      </c>
      <c r="AC25" s="79">
        <f t="shared" si="29"/>
        <v>82524.008276464243</v>
      </c>
      <c r="AD25"/>
      <c r="AE25" s="51">
        <f>VLOOKUP($A25,'ESAI - Q3 - Base Case'!$A$346:$N$400,10)*(1+$AE$8)</f>
        <v>72.961881941620334</v>
      </c>
      <c r="AF25" s="51">
        <f t="shared" si="14"/>
        <v>27.072366141443727</v>
      </c>
      <c r="AG25" s="51">
        <f t="shared" si="15"/>
        <v>1.9471792657489657</v>
      </c>
      <c r="AH25" s="51">
        <f t="shared" si="16"/>
        <v>98.087068817315085</v>
      </c>
      <c r="AI25" s="51">
        <f t="shared" si="17"/>
        <v>101.02968088183454</v>
      </c>
      <c r="AJ25" s="56">
        <f t="shared" si="18"/>
        <v>0</v>
      </c>
      <c r="AK25" s="51">
        <f t="shared" si="19"/>
        <v>101.02968088183454</v>
      </c>
      <c r="AL25" s="81">
        <f t="shared" si="20"/>
        <v>266228.91428571433</v>
      </c>
      <c r="AM25" s="79">
        <f t="shared" si="30"/>
        <v>26897.022251802999</v>
      </c>
      <c r="AN25"/>
      <c r="AO25" s="277">
        <f t="shared" si="21"/>
        <v>931801.2</v>
      </c>
      <c r="AP25" s="117">
        <f t="shared" si="22"/>
        <v>109421.03052826723</v>
      </c>
      <c r="BN25" s="50" t="s">
        <v>43</v>
      </c>
    </row>
    <row r="26" spans="1:66" ht="15" customHeight="1" x14ac:dyDescent="0.2">
      <c r="A26" s="166">
        <f t="shared" si="23"/>
        <v>2034</v>
      </c>
      <c r="B26" s="178">
        <f t="shared" si="24"/>
        <v>165</v>
      </c>
      <c r="C26" s="170">
        <f t="shared" si="7"/>
        <v>963600</v>
      </c>
      <c r="D26" s="167">
        <f t="shared" si="8"/>
        <v>688285.71428571432</v>
      </c>
      <c r="E26" s="168">
        <f t="shared" si="9"/>
        <v>275314.28571428574</v>
      </c>
      <c r="F26" s="169">
        <f t="shared" si="25"/>
        <v>3.3000000000000002E-2</v>
      </c>
      <c r="G26" s="166">
        <f t="shared" si="26"/>
        <v>2034</v>
      </c>
      <c r="H26" s="170">
        <f t="shared" si="0"/>
        <v>931801.2</v>
      </c>
      <c r="I26" s="167">
        <f t="shared" si="1"/>
        <v>665572.28571428568</v>
      </c>
      <c r="J26" s="168">
        <f t="shared" si="2"/>
        <v>266228.91428571433</v>
      </c>
      <c r="K26" s="110"/>
      <c r="L26" s="106">
        <f ca="1"/>
        <v>52.986203925599199</v>
      </c>
      <c r="N26" s="265">
        <f>Inputs!$C$21*(1+Inputs!$C$23)^('Firm Purchase Revenue Reqmnt'!A26-Inputs!$C$22)</f>
        <v>46.287989058281745</v>
      </c>
      <c r="O26" s="265">
        <f>Inputs!$C$24*(1+Inputs!$C$26)^('Firm Purchase Revenue Reqmnt'!A26-Inputs!$C$25)</f>
        <v>6.1649196812959079</v>
      </c>
      <c r="P26" s="131">
        <f t="shared" si="27"/>
        <v>500</v>
      </c>
      <c r="Q26" s="108">
        <f t="shared" si="10"/>
        <v>26.226454369788826</v>
      </c>
      <c r="R26" s="130"/>
      <c r="S26" s="108">
        <f t="shared" ca="1" si="3"/>
        <v>79.212658295388024</v>
      </c>
      <c r="T26"/>
      <c r="U26" s="51">
        <f>VLOOKUP($A26,'ESAI - Q3 - Base Case'!$A$346:$N$400,9)*(1+$U$8)</f>
        <v>97.158077464425403</v>
      </c>
      <c r="V26" s="51">
        <f>VLOOKUP($A26,'ESAI - Q3 - Base Case'!$D$406:$N$455,11)</f>
        <v>27.607401211901468</v>
      </c>
      <c r="W26" s="51">
        <f t="shared" si="28"/>
        <v>1.9666510584064554</v>
      </c>
      <c r="X26" s="51">
        <f t="shared" si="11"/>
        <v>122.79882761792041</v>
      </c>
      <c r="Y26" s="51">
        <f t="shared" si="12"/>
        <v>126.48279244645802</v>
      </c>
      <c r="Z26" s="56"/>
      <c r="AA26" s="51">
        <f t="shared" si="13"/>
        <v>126.48279244645802</v>
      </c>
      <c r="AB26" s="81">
        <f t="shared" si="5"/>
        <v>665572.28571428568</v>
      </c>
      <c r="AC26" s="79">
        <f t="shared" si="29"/>
        <v>84183.441272114651</v>
      </c>
      <c r="AD26"/>
      <c r="AE26" s="51">
        <f>VLOOKUP($A26,'ESAI - Q3 - Base Case'!$A$346:$N$400,10)*(1+$AE$8)</f>
        <v>74.421119580452739</v>
      </c>
      <c r="AF26" s="51">
        <f t="shared" si="14"/>
        <v>27.607401211901468</v>
      </c>
      <c r="AG26" s="51">
        <f t="shared" si="15"/>
        <v>1.9666510584064554</v>
      </c>
      <c r="AH26" s="51">
        <f t="shared" si="16"/>
        <v>100.06186973394776</v>
      </c>
      <c r="AI26" s="51">
        <f t="shared" si="17"/>
        <v>103.06372582596619</v>
      </c>
      <c r="AJ26" s="56">
        <f t="shared" si="18"/>
        <v>0</v>
      </c>
      <c r="AK26" s="51">
        <f t="shared" si="19"/>
        <v>103.06372582596619</v>
      </c>
      <c r="AL26" s="81">
        <f t="shared" si="20"/>
        <v>266228.91428571433</v>
      </c>
      <c r="AM26" s="79">
        <f t="shared" si="30"/>
        <v>27438.543828887516</v>
      </c>
      <c r="AN26"/>
      <c r="AO26" s="277">
        <f t="shared" si="21"/>
        <v>931801.2</v>
      </c>
      <c r="AP26" s="117">
        <f t="shared" si="22"/>
        <v>111621.98510100217</v>
      </c>
      <c r="BN26" s="50" t="s">
        <v>43</v>
      </c>
    </row>
    <row r="27" spans="1:66" ht="15" customHeight="1" x14ac:dyDescent="0.2">
      <c r="A27" s="166">
        <f t="shared" si="23"/>
        <v>2035</v>
      </c>
      <c r="B27" s="178">
        <f t="shared" si="24"/>
        <v>165</v>
      </c>
      <c r="C27" s="170">
        <f t="shared" si="7"/>
        <v>963600</v>
      </c>
      <c r="D27" s="167">
        <f t="shared" si="8"/>
        <v>688285.71428571432</v>
      </c>
      <c r="E27" s="168">
        <f t="shared" si="9"/>
        <v>275314.28571428574</v>
      </c>
      <c r="F27" s="169">
        <f t="shared" si="25"/>
        <v>3.3000000000000002E-2</v>
      </c>
      <c r="G27" s="166">
        <f t="shared" si="26"/>
        <v>2035</v>
      </c>
      <c r="H27" s="170">
        <f t="shared" si="0"/>
        <v>931801.2</v>
      </c>
      <c r="I27" s="167">
        <f t="shared" si="1"/>
        <v>665572.28571428568</v>
      </c>
      <c r="J27" s="168">
        <f t="shared" si="2"/>
        <v>266228.91428571433</v>
      </c>
      <c r="K27" s="110"/>
      <c r="L27" s="106">
        <f ca="1"/>
        <v>52.155774345097157</v>
      </c>
      <c r="N27" s="265">
        <f>Inputs!$C$21*(1+Inputs!$C$23)^('Firm Purchase Revenue Reqmnt'!A27-Inputs!$C$22)</f>
        <v>46.754571987989237</v>
      </c>
      <c r="O27" s="265">
        <f>Inputs!$C$24*(1+Inputs!$C$26)^('Firm Purchase Revenue Reqmnt'!A27-Inputs!$C$25)</f>
        <v>6.2259523861407384</v>
      </c>
      <c r="P27" s="131">
        <f t="shared" si="27"/>
        <v>500</v>
      </c>
      <c r="Q27" s="108">
        <f t="shared" si="10"/>
        <v>26.490262187064989</v>
      </c>
      <c r="R27" s="130"/>
      <c r="S27" s="108">
        <f t="shared" ca="1" si="3"/>
        <v>78.646036532162142</v>
      </c>
      <c r="T27"/>
      <c r="U27" s="51">
        <f>VLOOKUP($A27,'ESAI - Q3 - Base Case'!$A$346:$N$400,9)*(1+$U$8)</f>
        <v>99.101239013713908</v>
      </c>
      <c r="V27" s="51">
        <f>VLOOKUP($A27,'ESAI - Q3 - Base Case'!$D$406:$N$455,11)</f>
        <v>28.153010257501386</v>
      </c>
      <c r="W27" s="51">
        <f t="shared" si="28"/>
        <v>1.9863175689905199</v>
      </c>
      <c r="X27" s="51">
        <f t="shared" si="11"/>
        <v>125.26793170222477</v>
      </c>
      <c r="Y27" s="51">
        <f t="shared" si="12"/>
        <v>129.02596965329153</v>
      </c>
      <c r="Z27" s="56"/>
      <c r="AA27" s="51">
        <f t="shared" si="13"/>
        <v>129.02596965329153</v>
      </c>
      <c r="AB27" s="81">
        <f t="shared" si="5"/>
        <v>665572.28571428568</v>
      </c>
      <c r="AC27" s="79">
        <f t="shared" si="29"/>
        <v>85876.109538643301</v>
      </c>
      <c r="AD27"/>
      <c r="AE27" s="51">
        <f>VLOOKUP($A27,'ESAI - Q3 - Base Case'!$A$346:$N$400,10)*(1+$AE$8)</f>
        <v>75.909541972061803</v>
      </c>
      <c r="AF27" s="51">
        <f t="shared" si="14"/>
        <v>28.153010257501386</v>
      </c>
      <c r="AG27" s="51">
        <f t="shared" si="15"/>
        <v>1.9863175689905199</v>
      </c>
      <c r="AH27" s="51">
        <f t="shared" si="16"/>
        <v>102.07623466057267</v>
      </c>
      <c r="AI27" s="51">
        <f t="shared" si="17"/>
        <v>105.13852170038984</v>
      </c>
      <c r="AJ27" s="56">
        <f t="shared" si="18"/>
        <v>0</v>
      </c>
      <c r="AK27" s="51">
        <f t="shared" si="19"/>
        <v>105.13852170038984</v>
      </c>
      <c r="AL27" s="81">
        <f t="shared" si="20"/>
        <v>266228.91428571433</v>
      </c>
      <c r="AM27" s="79">
        <f t="shared" si="30"/>
        <v>27990.914481899807</v>
      </c>
      <c r="AN27"/>
      <c r="AO27" s="277">
        <f t="shared" si="21"/>
        <v>931801.2</v>
      </c>
      <c r="AP27" s="117">
        <f t="shared" si="22"/>
        <v>113867.0240205431</v>
      </c>
      <c r="BN27" s="50" t="s">
        <v>43</v>
      </c>
    </row>
    <row r="28" spans="1:66" ht="15" customHeight="1" x14ac:dyDescent="0.2">
      <c r="A28" s="166">
        <f t="shared" si="23"/>
        <v>2036</v>
      </c>
      <c r="B28" s="178">
        <f t="shared" si="24"/>
        <v>165</v>
      </c>
      <c r="C28" s="170">
        <f t="shared" si="7"/>
        <v>963600</v>
      </c>
      <c r="D28" s="167">
        <f t="shared" si="8"/>
        <v>688285.71428571432</v>
      </c>
      <c r="E28" s="168">
        <f t="shared" si="9"/>
        <v>275314.28571428574</v>
      </c>
      <c r="F28" s="169">
        <f t="shared" si="25"/>
        <v>3.3000000000000002E-2</v>
      </c>
      <c r="G28" s="166">
        <f t="shared" si="26"/>
        <v>2036</v>
      </c>
      <c r="H28" s="170">
        <f t="shared" si="0"/>
        <v>931801.2</v>
      </c>
      <c r="I28" s="167">
        <f t="shared" si="1"/>
        <v>665572.28571428568</v>
      </c>
      <c r="J28" s="168">
        <f t="shared" si="2"/>
        <v>266228.91428571433</v>
      </c>
      <c r="K28" s="110"/>
      <c r="L28" s="106">
        <f ca="1"/>
        <v>51.28600648972126</v>
      </c>
      <c r="N28" s="265">
        <f>Inputs!$C$21*(1+Inputs!$C$23)^('Firm Purchase Revenue Reqmnt'!A28-Inputs!$C$22)</f>
        <v>47.225858073628167</v>
      </c>
      <c r="O28" s="265">
        <f>Inputs!$C$24*(1+Inputs!$C$26)^('Firm Purchase Revenue Reqmnt'!A28-Inputs!$C$25)</f>
        <v>6.2875893147635322</v>
      </c>
      <c r="P28" s="131">
        <f t="shared" si="27"/>
        <v>500</v>
      </c>
      <c r="Q28" s="108">
        <f t="shared" si="10"/>
        <v>26.756723694195848</v>
      </c>
      <c r="R28" s="130"/>
      <c r="S28" s="108">
        <f t="shared" ca="1" si="3"/>
        <v>78.042730183917115</v>
      </c>
      <c r="T28"/>
      <c r="U28" s="51">
        <f>VLOOKUP($A28,'ESAI - Q3 - Base Case'!$A$346:$N$400,9)*(1+$U$8)</f>
        <v>101.08326379398818</v>
      </c>
      <c r="V28" s="51">
        <f>VLOOKUP($A28,'ESAI - Q3 - Base Case'!$D$406:$N$455,11)</f>
        <v>28.709402253236881</v>
      </c>
      <c r="W28" s="51">
        <f t="shared" si="28"/>
        <v>2.006180744680425</v>
      </c>
      <c r="X28" s="51">
        <f t="shared" si="11"/>
        <v>127.78648530254463</v>
      </c>
      <c r="Y28" s="51">
        <f t="shared" si="12"/>
        <v>131.62007986162098</v>
      </c>
      <c r="Z28" s="56"/>
      <c r="AA28" s="51">
        <f t="shared" si="13"/>
        <v>131.62007986162098</v>
      </c>
      <c r="AB28" s="81">
        <f t="shared" si="5"/>
        <v>665572.28571428568</v>
      </c>
      <c r="AC28" s="79">
        <f t="shared" si="29"/>
        <v>87602.677399395892</v>
      </c>
      <c r="AD28"/>
      <c r="AE28" s="51">
        <f>VLOOKUP($A28,'ESAI - Q3 - Base Case'!$A$346:$N$400,10)*(1+$AE$8)</f>
        <v>77.427732811503034</v>
      </c>
      <c r="AF28" s="51">
        <f t="shared" si="14"/>
        <v>28.709402253236881</v>
      </c>
      <c r="AG28" s="51">
        <f t="shared" si="15"/>
        <v>2.006180744680425</v>
      </c>
      <c r="AH28" s="51">
        <f t="shared" si="16"/>
        <v>104.13095432005949</v>
      </c>
      <c r="AI28" s="51">
        <f t="shared" si="17"/>
        <v>107.25488294966128</v>
      </c>
      <c r="AJ28" s="56">
        <f t="shared" si="18"/>
        <v>0</v>
      </c>
      <c r="AK28" s="51">
        <f t="shared" si="19"/>
        <v>107.25488294966128</v>
      </c>
      <c r="AL28" s="81">
        <f t="shared" si="20"/>
        <v>266228.91428571433</v>
      </c>
      <c r="AM28" s="79">
        <f t="shared" si="30"/>
        <v>28554.351039529694</v>
      </c>
      <c r="AN28"/>
      <c r="AO28" s="277">
        <f t="shared" si="21"/>
        <v>931801.2</v>
      </c>
      <c r="AP28" s="117">
        <f t="shared" si="22"/>
        <v>116157.02843892558</v>
      </c>
      <c r="BN28" s="50" t="s">
        <v>43</v>
      </c>
    </row>
    <row r="29" spans="1:66" ht="15" customHeight="1" x14ac:dyDescent="0.2">
      <c r="A29" s="166">
        <f t="shared" si="23"/>
        <v>2037</v>
      </c>
      <c r="B29" s="178">
        <f t="shared" si="24"/>
        <v>165</v>
      </c>
      <c r="C29" s="170">
        <f t="shared" si="7"/>
        <v>963600</v>
      </c>
      <c r="D29" s="167">
        <f t="shared" si="8"/>
        <v>688285.71428571432</v>
      </c>
      <c r="E29" s="168">
        <f t="shared" si="9"/>
        <v>275314.28571428574</v>
      </c>
      <c r="F29" s="169">
        <f t="shared" si="25"/>
        <v>3.3000000000000002E-2</v>
      </c>
      <c r="G29" s="166">
        <f t="shared" si="26"/>
        <v>2037</v>
      </c>
      <c r="H29" s="170">
        <f t="shared" si="0"/>
        <v>931801.2</v>
      </c>
      <c r="I29" s="167">
        <f t="shared" si="1"/>
        <v>665572.28571428568</v>
      </c>
      <c r="J29" s="168">
        <f t="shared" si="2"/>
        <v>266228.91428571433</v>
      </c>
      <c r="K29" s="110"/>
      <c r="L29" s="106">
        <f ca="1"/>
        <v>50.380047421461427</v>
      </c>
      <c r="N29" s="265">
        <f>Inputs!$C$21*(1+Inputs!$C$23)^('Firm Purchase Revenue Reqmnt'!A29-Inputs!$C$22)</f>
        <v>47.701894723010341</v>
      </c>
      <c r="O29" s="265">
        <f>Inputs!$C$24*(1+Inputs!$C$26)^('Firm Purchase Revenue Reqmnt'!A29-Inputs!$C$25)</f>
        <v>6.3498364489796915</v>
      </c>
      <c r="P29" s="131">
        <f t="shared" si="27"/>
        <v>500</v>
      </c>
      <c r="Q29" s="108">
        <f t="shared" si="10"/>
        <v>27.025865585995017</v>
      </c>
      <c r="R29" s="130"/>
      <c r="S29" s="108">
        <f t="shared" ca="1" si="3"/>
        <v>77.405913007456448</v>
      </c>
      <c r="T29"/>
      <c r="U29" s="51">
        <f>VLOOKUP($A29,'ESAI - Q3 - Base Case'!$A$346:$N$400,9)*(1+$U$8)</f>
        <v>103.10492906986795</v>
      </c>
      <c r="V29" s="51">
        <f>VLOOKUP($A29,'ESAI - Q3 - Base Case'!$D$406:$N$455,11)</f>
        <v>29.276790304104203</v>
      </c>
      <c r="W29" s="51">
        <f t="shared" si="28"/>
        <v>2.0262425521272291</v>
      </c>
      <c r="X29" s="51">
        <f t="shared" si="11"/>
        <v>130.35547682184492</v>
      </c>
      <c r="Y29" s="51">
        <f t="shared" si="12"/>
        <v>134.26614112650026</v>
      </c>
      <c r="Z29" s="56"/>
      <c r="AA29" s="51">
        <f t="shared" si="13"/>
        <v>134.26614112650026</v>
      </c>
      <c r="AB29" s="81">
        <f t="shared" si="5"/>
        <v>665572.28571428568</v>
      </c>
      <c r="AC29" s="79">
        <f t="shared" si="29"/>
        <v>89363.822443601632</v>
      </c>
      <c r="AD29"/>
      <c r="AE29" s="51">
        <f>VLOOKUP($A29,'ESAI - Q3 - Base Case'!$A$346:$N$400,10)*(1+$AE$8)</f>
        <v>78.976287467733087</v>
      </c>
      <c r="AF29" s="51">
        <f t="shared" si="14"/>
        <v>29.276790304104203</v>
      </c>
      <c r="AG29" s="51">
        <f t="shared" si="15"/>
        <v>2.0262425521272291</v>
      </c>
      <c r="AH29" s="51">
        <f t="shared" si="16"/>
        <v>106.22683521971007</v>
      </c>
      <c r="AI29" s="51">
        <f t="shared" si="17"/>
        <v>109.41364027630138</v>
      </c>
      <c r="AJ29" s="56">
        <f t="shared" si="18"/>
        <v>0</v>
      </c>
      <c r="AK29" s="51">
        <f t="shared" si="19"/>
        <v>109.41364027630138</v>
      </c>
      <c r="AL29" s="81">
        <f t="shared" si="20"/>
        <v>266228.91428571433</v>
      </c>
      <c r="AM29" s="79">
        <f t="shared" si="30"/>
        <v>29129.074658807418</v>
      </c>
      <c r="AN29"/>
      <c r="AO29" s="277">
        <f t="shared" si="21"/>
        <v>931801.2</v>
      </c>
      <c r="AP29" s="117">
        <f t="shared" si="22"/>
        <v>118492.89710240904</v>
      </c>
      <c r="BN29" s="50" t="s">
        <v>43</v>
      </c>
    </row>
    <row r="30" spans="1:66" ht="15" customHeight="1" x14ac:dyDescent="0.2">
      <c r="A30" s="166">
        <f t="shared" si="23"/>
        <v>2038</v>
      </c>
      <c r="B30" s="178">
        <f t="shared" si="24"/>
        <v>165</v>
      </c>
      <c r="C30" s="170">
        <f t="shared" si="7"/>
        <v>963600</v>
      </c>
      <c r="D30" s="167">
        <f t="shared" si="8"/>
        <v>688285.71428571432</v>
      </c>
      <c r="E30" s="168">
        <f t="shared" si="9"/>
        <v>275314.28571428574</v>
      </c>
      <c r="F30" s="169">
        <f t="shared" si="25"/>
        <v>3.3000000000000002E-2</v>
      </c>
      <c r="G30" s="166">
        <f t="shared" si="26"/>
        <v>2038</v>
      </c>
      <c r="H30" s="170">
        <f t="shared" si="0"/>
        <v>931801.2</v>
      </c>
      <c r="I30" s="167">
        <f t="shared" si="1"/>
        <v>665572.28571428568</v>
      </c>
      <c r="J30" s="168">
        <f t="shared" si="2"/>
        <v>266228.91428571433</v>
      </c>
      <c r="K30" s="110"/>
      <c r="L30" s="106">
        <f ca="1"/>
        <v>49.440792437348385</v>
      </c>
      <c r="N30" s="265">
        <f>Inputs!$C$21*(1+Inputs!$C$23)^('Firm Purchase Revenue Reqmnt'!A30-Inputs!$C$22)</f>
        <v>48.182729821818285</v>
      </c>
      <c r="O30" s="265">
        <f>Inputs!$C$24*(1+Inputs!$C$26)^('Firm Purchase Revenue Reqmnt'!A30-Inputs!$C$25)</f>
        <v>6.4126998298245894</v>
      </c>
      <c r="P30" s="131">
        <f t="shared" si="27"/>
        <v>500</v>
      </c>
      <c r="Q30" s="108">
        <f t="shared" si="10"/>
        <v>27.297714825821437</v>
      </c>
      <c r="R30" s="130"/>
      <c r="S30" s="108">
        <f t="shared" ca="1" si="3"/>
        <v>76.738507263169822</v>
      </c>
      <c r="T30"/>
      <c r="U30" s="51">
        <f>VLOOKUP($A30,'ESAI - Q3 - Base Case'!$A$346:$N$400,9)*(1+$U$8)</f>
        <v>105.1670276512653</v>
      </c>
      <c r="V30" s="51">
        <f>VLOOKUP($A30,'ESAI - Q3 - Base Case'!$D$406:$N$455,11)</f>
        <v>29.855391726724353</v>
      </c>
      <c r="W30" s="51">
        <f t="shared" si="28"/>
        <v>2.0465049776485014</v>
      </c>
      <c r="X30" s="51">
        <f t="shared" si="11"/>
        <v>132.97591440034114</v>
      </c>
      <c r="Y30" s="51">
        <f t="shared" si="12"/>
        <v>136.96519183235137</v>
      </c>
      <c r="Z30" s="56"/>
      <c r="AA30" s="51">
        <f t="shared" si="13"/>
        <v>136.96519183235137</v>
      </c>
      <c r="AB30" s="81">
        <f t="shared" si="5"/>
        <v>665572.28571428568</v>
      </c>
      <c r="AC30" s="79">
        <f t="shared" si="29"/>
        <v>91160.235791153711</v>
      </c>
      <c r="AD30"/>
      <c r="AE30" s="51">
        <f>VLOOKUP($A30,'ESAI - Q3 - Base Case'!$A$346:$N$400,10)*(1+$AE$8)</f>
        <v>80.555813217087746</v>
      </c>
      <c r="AF30" s="51">
        <f t="shared" si="14"/>
        <v>29.855391726724353</v>
      </c>
      <c r="AG30" s="51">
        <f t="shared" si="15"/>
        <v>2.0465049776485014</v>
      </c>
      <c r="AH30" s="51">
        <f t="shared" si="16"/>
        <v>108.3646999661636</v>
      </c>
      <c r="AI30" s="51">
        <f t="shared" si="17"/>
        <v>111.61564096514851</v>
      </c>
      <c r="AJ30" s="56">
        <f t="shared" si="18"/>
        <v>0</v>
      </c>
      <c r="AK30" s="51">
        <f t="shared" si="19"/>
        <v>111.61564096514851</v>
      </c>
      <c r="AL30" s="81">
        <f t="shared" si="20"/>
        <v>266228.91428571433</v>
      </c>
      <c r="AM30" s="79">
        <f t="shared" si="30"/>
        <v>29715.310911455592</v>
      </c>
      <c r="AN30"/>
      <c r="AO30" s="277">
        <f t="shared" si="21"/>
        <v>931801.2</v>
      </c>
      <c r="AP30" s="117">
        <f t="shared" si="22"/>
        <v>120875.54670260931</v>
      </c>
      <c r="BN30" s="50" t="s">
        <v>43</v>
      </c>
    </row>
    <row r="31" spans="1:66" ht="15" customHeight="1" x14ac:dyDescent="0.2">
      <c r="A31" s="166">
        <f t="shared" si="23"/>
        <v>2039</v>
      </c>
      <c r="B31" s="178">
        <f t="shared" si="24"/>
        <v>165</v>
      </c>
      <c r="C31" s="170">
        <f t="shared" si="7"/>
        <v>963600</v>
      </c>
      <c r="D31" s="167">
        <f t="shared" si="8"/>
        <v>688285.71428571432</v>
      </c>
      <c r="E31" s="168">
        <f t="shared" si="9"/>
        <v>275314.28571428574</v>
      </c>
      <c r="F31" s="169">
        <f t="shared" si="25"/>
        <v>3.3000000000000002E-2</v>
      </c>
      <c r="G31" s="166">
        <f t="shared" si="26"/>
        <v>2039</v>
      </c>
      <c r="H31" s="170">
        <f t="shared" si="0"/>
        <v>931801.2</v>
      </c>
      <c r="I31" s="167">
        <f t="shared" si="1"/>
        <v>665572.28571428568</v>
      </c>
      <c r="J31" s="168">
        <f t="shared" si="2"/>
        <v>266228.91428571433</v>
      </c>
      <c r="K31" s="110"/>
      <c r="L31" s="106">
        <f ca="1"/>
        <v>48.470905210650358</v>
      </c>
      <c r="N31" s="265">
        <f>Inputs!$C$21*(1+Inputs!$C$23)^('Firm Purchase Revenue Reqmnt'!A31-Inputs!$C$22)</f>
        <v>48.668411738422215</v>
      </c>
      <c r="O31" s="265">
        <f>Inputs!$C$24*(1+Inputs!$C$26)^('Firm Purchase Revenue Reqmnt'!A31-Inputs!$C$25)</f>
        <v>6.4761855581398544</v>
      </c>
      <c r="P31" s="131">
        <f t="shared" si="27"/>
        <v>500</v>
      </c>
      <c r="Q31" s="108">
        <f t="shared" si="10"/>
        <v>27.572298648281034</v>
      </c>
      <c r="R31" s="130"/>
      <c r="S31" s="108">
        <f t="shared" ca="1" si="3"/>
        <v>76.043203858931392</v>
      </c>
      <c r="T31"/>
      <c r="U31" s="51">
        <f>VLOOKUP($A31,'ESAI - Q3 - Base Case'!$A$346:$N$400,9)*(1+$U$8)</f>
        <v>107.27036820429062</v>
      </c>
      <c r="V31" s="51">
        <f>VLOOKUP($A31,'ESAI - Q3 - Base Case'!$D$406:$N$455,11)</f>
        <v>30.445428132578002</v>
      </c>
      <c r="W31" s="51">
        <f t="shared" si="28"/>
        <v>2.0669700274249863</v>
      </c>
      <c r="X31" s="51">
        <f t="shared" si="11"/>
        <v>135.64882630944362</v>
      </c>
      <c r="Y31" s="51">
        <f t="shared" si="12"/>
        <v>139.71829109872692</v>
      </c>
      <c r="Z31" s="56"/>
      <c r="AA31" s="51">
        <f t="shared" si="13"/>
        <v>139.71829109872692</v>
      </c>
      <c r="AB31" s="81">
        <f t="shared" si="5"/>
        <v>665572.28571428568</v>
      </c>
      <c r="AC31" s="79">
        <f t="shared" si="29"/>
        <v>92992.622362673617</v>
      </c>
      <c r="AD31"/>
      <c r="AE31" s="51">
        <f>VLOOKUP($A31,'ESAI - Q3 - Base Case'!$A$346:$N$400,10)*(1+$AE$8)</f>
        <v>82.166929481429506</v>
      </c>
      <c r="AF31" s="51">
        <f t="shared" si="14"/>
        <v>30.445428132578002</v>
      </c>
      <c r="AG31" s="51">
        <f t="shared" si="15"/>
        <v>2.0669700274249863</v>
      </c>
      <c r="AH31" s="51">
        <f t="shared" si="16"/>
        <v>110.54538758658252</v>
      </c>
      <c r="AI31" s="51">
        <f t="shared" si="17"/>
        <v>113.86174921417999</v>
      </c>
      <c r="AJ31" s="56">
        <f t="shared" si="18"/>
        <v>0</v>
      </c>
      <c r="AK31" s="51">
        <f t="shared" si="19"/>
        <v>113.86174921417999</v>
      </c>
      <c r="AL31" s="81">
        <f t="shared" si="20"/>
        <v>266228.91428571433</v>
      </c>
      <c r="AM31" s="79">
        <f t="shared" si="30"/>
        <v>30313.289871963425</v>
      </c>
      <c r="AN31"/>
      <c r="AO31" s="277">
        <f t="shared" si="21"/>
        <v>931801.2</v>
      </c>
      <c r="AP31" s="117">
        <f t="shared" si="22"/>
        <v>123305.91223463704</v>
      </c>
      <c r="BN31" s="50" t="s">
        <v>43</v>
      </c>
    </row>
    <row r="32" spans="1:66" ht="15" customHeight="1" x14ac:dyDescent="0.2">
      <c r="A32" s="166">
        <f t="shared" si="23"/>
        <v>2040</v>
      </c>
      <c r="B32" s="178">
        <f t="shared" si="24"/>
        <v>165</v>
      </c>
      <c r="C32" s="170">
        <f t="shared" si="7"/>
        <v>963600</v>
      </c>
      <c r="D32" s="167">
        <f t="shared" si="8"/>
        <v>688285.71428571432</v>
      </c>
      <c r="E32" s="168">
        <f t="shared" si="9"/>
        <v>275314.28571428574</v>
      </c>
      <c r="F32" s="169">
        <f t="shared" si="25"/>
        <v>3.3000000000000002E-2</v>
      </c>
      <c r="G32" s="166">
        <f t="shared" si="26"/>
        <v>2040</v>
      </c>
      <c r="H32" s="170">
        <f t="shared" si="0"/>
        <v>931801.2</v>
      </c>
      <c r="I32" s="167">
        <f t="shared" si="1"/>
        <v>665572.28571428568</v>
      </c>
      <c r="J32" s="168">
        <f t="shared" si="2"/>
        <v>266228.91428571433</v>
      </c>
      <c r="K32" s="110"/>
      <c r="L32" s="106">
        <f ca="1"/>
        <v>47.472836320774178</v>
      </c>
      <c r="N32" s="265">
        <f>Inputs!$C$21*(1+Inputs!$C$23)^('Firm Purchase Revenue Reqmnt'!A32-Inputs!$C$22)</f>
        <v>49.158989328745527</v>
      </c>
      <c r="O32" s="265">
        <f>Inputs!$C$24*(1+Inputs!$C$26)^('Firm Purchase Revenue Reqmnt'!A32-Inputs!$C$25)</f>
        <v>6.5402997951654394</v>
      </c>
      <c r="P32" s="131">
        <f t="shared" si="27"/>
        <v>500</v>
      </c>
      <c r="Q32" s="108">
        <f t="shared" si="10"/>
        <v>27.849644561955483</v>
      </c>
      <c r="R32" s="130"/>
      <c r="S32" s="108">
        <f t="shared" ca="1" si="3"/>
        <v>75.322480882729664</v>
      </c>
      <c r="T32"/>
      <c r="U32" s="51">
        <f>VLOOKUP($A32,'ESAI - Q3 - Base Case'!$A$346:$N$400,9)*(1+$U$8)</f>
        <v>109.41577556837643</v>
      </c>
      <c r="V32" s="51">
        <f>VLOOKUP($A32,'ESAI - Q3 - Base Case'!$D$406:$N$455,11)</f>
        <v>31.047125512885419</v>
      </c>
      <c r="W32" s="51">
        <f t="shared" si="28"/>
        <v>2.0876397276992362</v>
      </c>
      <c r="X32" s="51">
        <f t="shared" si="11"/>
        <v>138.37526135356262</v>
      </c>
      <c r="Y32" s="51">
        <f t="shared" si="12"/>
        <v>142.52651919416951</v>
      </c>
      <c r="Z32" s="56"/>
      <c r="AA32" s="51">
        <f t="shared" si="13"/>
        <v>142.52651919416951</v>
      </c>
      <c r="AB32" s="81">
        <f t="shared" si="5"/>
        <v>665572.28571428568</v>
      </c>
      <c r="AC32" s="79">
        <f t="shared" si="29"/>
        <v>94861.701154964423</v>
      </c>
      <c r="AD32"/>
      <c r="AE32" s="51">
        <f>VLOOKUP($A32,'ESAI - Q3 - Base Case'!$A$346:$N$400,10)*(1+$AE$8)</f>
        <v>83.81026807105809</v>
      </c>
      <c r="AF32" s="51">
        <f t="shared" si="14"/>
        <v>31.047125512885419</v>
      </c>
      <c r="AG32" s="51">
        <f t="shared" si="15"/>
        <v>2.0876397276992362</v>
      </c>
      <c r="AH32" s="51">
        <f t="shared" si="16"/>
        <v>112.76975385624426</v>
      </c>
      <c r="AI32" s="51">
        <f t="shared" si="17"/>
        <v>116.1528464719316</v>
      </c>
      <c r="AJ32" s="56">
        <f t="shared" si="18"/>
        <v>0</v>
      </c>
      <c r="AK32" s="51">
        <f t="shared" si="19"/>
        <v>116.1528464719316</v>
      </c>
      <c r="AL32" s="81">
        <f t="shared" si="20"/>
        <v>266228.91428571433</v>
      </c>
      <c r="AM32" s="79">
        <f t="shared" si="30"/>
        <v>30923.246207417615</v>
      </c>
      <c r="AN32"/>
      <c r="AO32" s="277">
        <f t="shared" si="21"/>
        <v>931801.2</v>
      </c>
      <c r="AP32" s="117">
        <f t="shared" si="22"/>
        <v>125784.94736238204</v>
      </c>
      <c r="BN32" s="50" t="s">
        <v>43</v>
      </c>
    </row>
    <row r="33" spans="1:66" ht="15" customHeight="1" x14ac:dyDescent="0.2">
      <c r="A33" s="166">
        <f t="shared" si="23"/>
        <v>2041</v>
      </c>
      <c r="B33" s="178">
        <f t="shared" si="24"/>
        <v>165</v>
      </c>
      <c r="C33" s="170">
        <f t="shared" si="7"/>
        <v>963600</v>
      </c>
      <c r="D33" s="167">
        <f t="shared" si="8"/>
        <v>688285.71428571432</v>
      </c>
      <c r="E33" s="168">
        <f t="shared" si="9"/>
        <v>275314.28571428574</v>
      </c>
      <c r="F33" s="169">
        <f t="shared" si="25"/>
        <v>3.3000000000000002E-2</v>
      </c>
      <c r="G33" s="166">
        <f t="shared" si="26"/>
        <v>2041</v>
      </c>
      <c r="H33" s="170">
        <f t="shared" si="0"/>
        <v>931801.2</v>
      </c>
      <c r="I33" s="167">
        <f t="shared" si="1"/>
        <v>665572.28571428568</v>
      </c>
      <c r="J33" s="168">
        <f t="shared" si="2"/>
        <v>266228.91428571433</v>
      </c>
      <c r="K33" s="110"/>
      <c r="L33" s="106">
        <f ca="1"/>
        <v>46.44884030077408</v>
      </c>
      <c r="N33" s="265">
        <f>Inputs!$C$21*(1+Inputs!$C$23)^('Firm Purchase Revenue Reqmnt'!A33-Inputs!$C$22)</f>
        <v>49.654511941179265</v>
      </c>
      <c r="O33" s="265">
        <f>Inputs!$C$24*(1+Inputs!$C$26)^('Firm Purchase Revenue Reqmnt'!A33-Inputs!$C$25)</f>
        <v>6.605048763137578</v>
      </c>
      <c r="P33" s="131">
        <f t="shared" si="27"/>
        <v>500</v>
      </c>
      <c r="Q33" s="108">
        <f t="shared" si="10"/>
        <v>28.12978035215842</v>
      </c>
      <c r="R33" s="130"/>
      <c r="S33" s="108">
        <f t="shared" ca="1" si="3"/>
        <v>74.5786206529325</v>
      </c>
      <c r="T33"/>
      <c r="U33" s="51">
        <f>VLOOKUP($A33,'ESAI - Q3 - Base Case'!$A$346:$N$400,9)*(1+$U$8)</f>
        <v>109.41577556837643</v>
      </c>
      <c r="V33" s="51">
        <f>VLOOKUP($A33,'ESAI - Q3 - Base Case'!$D$406:$N$455,11)</f>
        <v>31.047125512885419</v>
      </c>
      <c r="W33" s="51">
        <f t="shared" si="28"/>
        <v>2.1085161249762288</v>
      </c>
      <c r="X33" s="51">
        <f t="shared" si="11"/>
        <v>138.35438495628563</v>
      </c>
      <c r="Y33" s="51">
        <f t="shared" si="12"/>
        <v>142.50501650497421</v>
      </c>
      <c r="Z33" s="56"/>
      <c r="AA33" s="51">
        <f t="shared" si="13"/>
        <v>142.50501650497421</v>
      </c>
      <c r="AB33" s="81">
        <f t="shared" si="5"/>
        <v>665572.28571428568</v>
      </c>
      <c r="AC33" s="79">
        <f t="shared" si="29"/>
        <v>94847.389560967684</v>
      </c>
      <c r="AD33"/>
      <c r="AE33" s="51">
        <f>VLOOKUP($A33,'ESAI - Q3 - Base Case'!$A$346:$N$400,10)*(1+$AE$8)</f>
        <v>83.81026807105809</v>
      </c>
      <c r="AF33" s="51">
        <f t="shared" si="14"/>
        <v>31.047125512885419</v>
      </c>
      <c r="AG33" s="51">
        <f t="shared" si="15"/>
        <v>2.1085161249762288</v>
      </c>
      <c r="AH33" s="51">
        <f t="shared" si="16"/>
        <v>112.74887745896727</v>
      </c>
      <c r="AI33" s="51">
        <f t="shared" si="17"/>
        <v>116.13134378273629</v>
      </c>
      <c r="AJ33" s="56">
        <f t="shared" si="18"/>
        <v>0</v>
      </c>
      <c r="AK33" s="51">
        <f t="shared" si="19"/>
        <v>116.13134378273629</v>
      </c>
      <c r="AL33" s="81">
        <f t="shared" si="20"/>
        <v>266228.91428571433</v>
      </c>
      <c r="AM33" s="79">
        <f t="shared" si="30"/>
        <v>30917.521569818924</v>
      </c>
      <c r="AN33"/>
      <c r="AO33" s="277">
        <f t="shared" si="21"/>
        <v>931801.2</v>
      </c>
      <c r="AP33" s="117">
        <f t="shared" si="22"/>
        <v>125764.91113078661</v>
      </c>
      <c r="BN33" s="50" t="s">
        <v>43</v>
      </c>
    </row>
    <row r="34" spans="1:66" ht="15" customHeight="1" x14ac:dyDescent="0.2">
      <c r="A34" s="166">
        <f t="shared" si="23"/>
        <v>2042</v>
      </c>
      <c r="B34" s="178">
        <f t="shared" si="24"/>
        <v>165</v>
      </c>
      <c r="C34" s="170">
        <f t="shared" si="7"/>
        <v>963600</v>
      </c>
      <c r="D34" s="167">
        <f t="shared" si="8"/>
        <v>688285.71428571432</v>
      </c>
      <c r="E34" s="168">
        <f t="shared" si="9"/>
        <v>275314.28571428574</v>
      </c>
      <c r="F34" s="169">
        <f t="shared" si="25"/>
        <v>3.3000000000000002E-2</v>
      </c>
      <c r="G34" s="166">
        <f t="shared" si="26"/>
        <v>2042</v>
      </c>
      <c r="H34" s="170">
        <f t="shared" si="0"/>
        <v>931801.2</v>
      </c>
      <c r="I34" s="167">
        <f t="shared" si="1"/>
        <v>665572.28571428568</v>
      </c>
      <c r="J34" s="168">
        <f t="shared" si="2"/>
        <v>266228.91428571433</v>
      </c>
      <c r="K34" s="110"/>
      <c r="L34" s="106">
        <f ca="1"/>
        <v>45.400991321059976</v>
      </c>
      <c r="N34" s="265">
        <f>Inputs!$C$21*(1+Inputs!$C$23)^('Firm Purchase Revenue Reqmnt'!A34-Inputs!$C$22)</f>
        <v>50.155029421546359</v>
      </c>
      <c r="O34" s="265">
        <f>Inputs!$C$24*(1+Inputs!$C$26)^('Firm Purchase Revenue Reqmnt'!A34-Inputs!$C$25)</f>
        <v>6.67043874589264</v>
      </c>
      <c r="P34" s="131">
        <f t="shared" si="27"/>
        <v>500</v>
      </c>
      <c r="Q34" s="108">
        <f t="shared" si="10"/>
        <v>28.412734083719499</v>
      </c>
      <c r="R34" s="130"/>
      <c r="S34" s="108">
        <f t="shared" ca="1" si="3"/>
        <v>73.813725404779476</v>
      </c>
      <c r="T34"/>
      <c r="U34" s="51">
        <f>VLOOKUP($A34,'ESAI - Q3 - Base Case'!$A$346:$N$400,9)*(1+$U$8)</f>
        <v>109.41577556837643</v>
      </c>
      <c r="V34" s="51">
        <f>VLOOKUP($A34,'ESAI - Q3 - Base Case'!$D$406:$N$455,11)</f>
        <v>31.047125512885419</v>
      </c>
      <c r="W34" s="51">
        <f t="shared" si="28"/>
        <v>2.129601286225991</v>
      </c>
      <c r="X34" s="51">
        <f t="shared" si="11"/>
        <v>138.33329979503588</v>
      </c>
      <c r="Y34" s="51">
        <f t="shared" si="12"/>
        <v>142.48329878888697</v>
      </c>
      <c r="Z34" s="56"/>
      <c r="AA34" s="51">
        <f t="shared" si="13"/>
        <v>142.48329878888697</v>
      </c>
      <c r="AB34" s="81">
        <f t="shared" si="5"/>
        <v>665572.28571428568</v>
      </c>
      <c r="AC34" s="79">
        <f t="shared" si="29"/>
        <v>94832.934851031023</v>
      </c>
      <c r="AD34"/>
      <c r="AE34" s="51">
        <f>VLOOKUP($A34,'ESAI - Q3 - Base Case'!$A$346:$N$400,10)*(1+$AE$8)</f>
        <v>83.81026807105809</v>
      </c>
      <c r="AF34" s="51">
        <f t="shared" si="14"/>
        <v>31.047125512885419</v>
      </c>
      <c r="AG34" s="51">
        <f t="shared" si="15"/>
        <v>2.129601286225991</v>
      </c>
      <c r="AH34" s="51">
        <f t="shared" si="16"/>
        <v>112.72779229771751</v>
      </c>
      <c r="AI34" s="51">
        <f t="shared" si="17"/>
        <v>116.10962606664904</v>
      </c>
      <c r="AJ34" s="56">
        <f t="shared" si="18"/>
        <v>0</v>
      </c>
      <c r="AK34" s="51">
        <f t="shared" si="19"/>
        <v>116.10962606664904</v>
      </c>
      <c r="AL34" s="81">
        <f t="shared" si="20"/>
        <v>266228.91428571433</v>
      </c>
      <c r="AM34" s="79">
        <f t="shared" si="30"/>
        <v>30911.739685844252</v>
      </c>
      <c r="AN34"/>
      <c r="AO34" s="277">
        <f t="shared" si="21"/>
        <v>931801.2</v>
      </c>
      <c r="AP34" s="117">
        <f t="shared" si="22"/>
        <v>125744.67453687527</v>
      </c>
      <c r="BN34" s="50" t="s">
        <v>43</v>
      </c>
    </row>
    <row r="35" spans="1:66" ht="15" customHeight="1" x14ac:dyDescent="0.2">
      <c r="A35" s="166">
        <f t="shared" si="23"/>
        <v>2043</v>
      </c>
      <c r="B35" s="178">
        <f t="shared" si="24"/>
        <v>165</v>
      </c>
      <c r="C35" s="170">
        <f t="shared" si="7"/>
        <v>963600</v>
      </c>
      <c r="D35" s="167">
        <f t="shared" si="8"/>
        <v>688285.71428571432</v>
      </c>
      <c r="E35" s="168">
        <f t="shared" si="9"/>
        <v>275314.28571428574</v>
      </c>
      <c r="F35" s="169">
        <f t="shared" si="25"/>
        <v>3.3000000000000002E-2</v>
      </c>
      <c r="G35" s="166">
        <f t="shared" si="26"/>
        <v>2043</v>
      </c>
      <c r="H35" s="170">
        <f t="shared" si="0"/>
        <v>931801.2</v>
      </c>
      <c r="I35" s="167">
        <f t="shared" si="1"/>
        <v>665572.28571428568</v>
      </c>
      <c r="J35" s="168">
        <f t="shared" si="2"/>
        <v>266228.91428571433</v>
      </c>
      <c r="K35" s="110"/>
      <c r="L35" s="106">
        <f ca="1"/>
        <v>44.331197618409</v>
      </c>
      <c r="N35" s="265">
        <f>Inputs!$C$21*(1+Inputs!$C$23)^('Firm Purchase Revenue Reqmnt'!A35-Inputs!$C$22)</f>
        <v>50.660592118115552</v>
      </c>
      <c r="O35" s="265">
        <f>Inputs!$C$24*(1+Inputs!$C$26)^('Firm Purchase Revenue Reqmnt'!A35-Inputs!$C$25)</f>
        <v>6.7364760894769793</v>
      </c>
      <c r="P35" s="131">
        <f t="shared" si="27"/>
        <v>500</v>
      </c>
      <c r="Q35" s="108">
        <f t="shared" si="10"/>
        <v>28.69853410379627</v>
      </c>
      <c r="R35" s="130"/>
      <c r="S35" s="108">
        <f t="shared" ca="1" si="3"/>
        <v>73.02973172220527</v>
      </c>
      <c r="T35"/>
      <c r="U35" s="51">
        <f>VLOOKUP($A35,'ESAI - Q3 - Base Case'!$A$346:$N$400,9)*(1+$U$8)</f>
        <v>109.41577556837643</v>
      </c>
      <c r="V35" s="51">
        <f>VLOOKUP($A35,'ESAI - Q3 - Base Case'!$D$406:$N$455,11)</f>
        <v>31.047125512885419</v>
      </c>
      <c r="W35" s="51">
        <f t="shared" si="28"/>
        <v>2.1508972990882511</v>
      </c>
      <c r="X35" s="51">
        <f t="shared" si="11"/>
        <v>138.3120037821736</v>
      </c>
      <c r="Y35" s="51">
        <f t="shared" si="12"/>
        <v>142.46136389563881</v>
      </c>
      <c r="Z35" s="56"/>
      <c r="AA35" s="51">
        <f t="shared" si="13"/>
        <v>142.46136389563881</v>
      </c>
      <c r="AB35" s="81">
        <f t="shared" si="5"/>
        <v>665572.28571428568</v>
      </c>
      <c r="AC35" s="79">
        <f t="shared" si="29"/>
        <v>94818.335593994925</v>
      </c>
      <c r="AD35"/>
      <c r="AE35" s="51">
        <f>VLOOKUP($A35,'ESAI - Q3 - Base Case'!$A$346:$N$400,10)*(1+$AE$8)</f>
        <v>83.81026807105809</v>
      </c>
      <c r="AF35" s="51">
        <f t="shared" si="14"/>
        <v>31.047125512885419</v>
      </c>
      <c r="AG35" s="51">
        <f t="shared" si="15"/>
        <v>2.1508972990882511</v>
      </c>
      <c r="AH35" s="51">
        <f t="shared" si="16"/>
        <v>112.70649628485525</v>
      </c>
      <c r="AI35" s="51">
        <f t="shared" si="17"/>
        <v>116.08769117340091</v>
      </c>
      <c r="AJ35" s="56">
        <f t="shared" si="18"/>
        <v>0</v>
      </c>
      <c r="AK35" s="51">
        <f t="shared" si="19"/>
        <v>116.08769117340091</v>
      </c>
      <c r="AL35" s="81">
        <f t="shared" si="20"/>
        <v>266228.91428571433</v>
      </c>
      <c r="AM35" s="79">
        <f t="shared" si="30"/>
        <v>30905.899983029827</v>
      </c>
      <c r="AN35"/>
      <c r="AO35" s="277">
        <f t="shared" si="21"/>
        <v>931801.2</v>
      </c>
      <c r="AP35" s="117">
        <f t="shared" si="22"/>
        <v>125724.23557702475</v>
      </c>
      <c r="BN35" s="50" t="s">
        <v>43</v>
      </c>
    </row>
    <row r="36" spans="1:66" ht="15" customHeight="1" x14ac:dyDescent="0.2">
      <c r="A36" s="166">
        <f t="shared" si="23"/>
        <v>2044</v>
      </c>
      <c r="B36" s="178">
        <f t="shared" si="24"/>
        <v>165</v>
      </c>
      <c r="C36" s="170">
        <f t="shared" si="7"/>
        <v>963600</v>
      </c>
      <c r="D36" s="167">
        <f t="shared" si="8"/>
        <v>688285.71428571432</v>
      </c>
      <c r="E36" s="168">
        <f t="shared" si="9"/>
        <v>275314.28571428574</v>
      </c>
      <c r="F36" s="169">
        <f t="shared" si="25"/>
        <v>3.3000000000000002E-2</v>
      </c>
      <c r="G36" s="166">
        <f t="shared" si="26"/>
        <v>2044</v>
      </c>
      <c r="H36" s="170">
        <f t="shared" si="0"/>
        <v>931801.2</v>
      </c>
      <c r="I36" s="167">
        <f t="shared" si="1"/>
        <v>665572.28571428568</v>
      </c>
      <c r="J36" s="168">
        <f t="shared" si="2"/>
        <v>266228.91428571433</v>
      </c>
      <c r="K36" s="110"/>
      <c r="L36" s="106">
        <f ca="1"/>
        <v>43.241214770656079</v>
      </c>
      <c r="N36" s="265">
        <f>Inputs!$C$21*(1+Inputs!$C$23)^('Firm Purchase Revenue Reqmnt'!A36-Inputs!$C$22)</f>
        <v>51.171250886666165</v>
      </c>
      <c r="O36" s="265">
        <f>Inputs!$C$24*(1+Inputs!$C$26)^('Firm Purchase Revenue Reqmnt'!A36-Inputs!$C$25)</f>
        <v>6.8031672027628014</v>
      </c>
      <c r="P36" s="131">
        <f t="shared" si="27"/>
        <v>500</v>
      </c>
      <c r="Q36" s="108">
        <f t="shared" si="10"/>
        <v>28.987209044714483</v>
      </c>
      <c r="R36" s="130"/>
      <c r="S36" s="108">
        <f t="shared" ca="1" si="3"/>
        <v>72.228423815370562</v>
      </c>
      <c r="T36"/>
      <c r="U36" s="51">
        <f>VLOOKUP($A36,'ESAI - Q3 - Base Case'!$A$346:$N$400,9)*(1+$U$8)</f>
        <v>109.41577556837643</v>
      </c>
      <c r="V36" s="51">
        <f>VLOOKUP($A36,'ESAI - Q3 - Base Case'!$D$406:$N$455,11)</f>
        <v>31.047125512885419</v>
      </c>
      <c r="W36" s="51">
        <f t="shared" si="28"/>
        <v>2.1724062720791335</v>
      </c>
      <c r="X36" s="51">
        <f t="shared" si="11"/>
        <v>138.29049480918272</v>
      </c>
      <c r="Y36" s="51">
        <f t="shared" si="12"/>
        <v>142.43920965345819</v>
      </c>
      <c r="Z36" s="56"/>
      <c r="AA36" s="51">
        <f t="shared" si="13"/>
        <v>142.43920965345819</v>
      </c>
      <c r="AB36" s="81">
        <f t="shared" si="5"/>
        <v>665572.28571428568</v>
      </c>
      <c r="AC36" s="79">
        <f t="shared" si="29"/>
        <v>94803.590344388518</v>
      </c>
      <c r="AD36"/>
      <c r="AE36" s="51">
        <f>VLOOKUP($A36,'ESAI - Q3 - Base Case'!$A$346:$N$400,10)*(1+$AE$8)</f>
        <v>83.81026807105809</v>
      </c>
      <c r="AF36" s="51">
        <f t="shared" si="14"/>
        <v>31.047125512885419</v>
      </c>
      <c r="AG36" s="51">
        <f t="shared" si="15"/>
        <v>2.1724062720791335</v>
      </c>
      <c r="AH36" s="51">
        <f t="shared" si="16"/>
        <v>112.68498731186438</v>
      </c>
      <c r="AI36" s="51">
        <f t="shared" si="17"/>
        <v>116.06553693122031</v>
      </c>
      <c r="AJ36" s="56">
        <f t="shared" si="18"/>
        <v>0</v>
      </c>
      <c r="AK36" s="51">
        <f t="shared" si="19"/>
        <v>116.06553693122031</v>
      </c>
      <c r="AL36" s="81">
        <f t="shared" si="20"/>
        <v>266228.91428571433</v>
      </c>
      <c r="AM36" s="79">
        <f t="shared" si="30"/>
        <v>30900.001883187266</v>
      </c>
      <c r="AN36"/>
      <c r="AO36" s="277">
        <f t="shared" si="21"/>
        <v>931801.2</v>
      </c>
      <c r="AP36" s="117">
        <f t="shared" si="22"/>
        <v>125703.59222757578</v>
      </c>
      <c r="BN36" s="50" t="s">
        <v>43</v>
      </c>
    </row>
    <row r="37" spans="1:66" ht="15" customHeight="1" x14ac:dyDescent="0.2">
      <c r="A37" s="166">
        <f t="shared" si="23"/>
        <v>2045</v>
      </c>
      <c r="B37" s="178">
        <f t="shared" si="24"/>
        <v>165</v>
      </c>
      <c r="C37" s="170">
        <f t="shared" si="7"/>
        <v>963600</v>
      </c>
      <c r="D37" s="167">
        <f t="shared" si="8"/>
        <v>688285.71428571432</v>
      </c>
      <c r="E37" s="168">
        <f t="shared" si="9"/>
        <v>275314.28571428574</v>
      </c>
      <c r="F37" s="169">
        <f t="shared" si="25"/>
        <v>3.3000000000000002E-2</v>
      </c>
      <c r="G37" s="166">
        <f t="shared" si="26"/>
        <v>2045</v>
      </c>
      <c r="H37" s="170">
        <f t="shared" si="0"/>
        <v>931801.2</v>
      </c>
      <c r="I37" s="167">
        <f t="shared" si="1"/>
        <v>665572.28571428568</v>
      </c>
      <c r="J37" s="168">
        <f t="shared" si="2"/>
        <v>266228.91428571433</v>
      </c>
      <c r="K37" s="110"/>
      <c r="L37" s="106">
        <f ca="1"/>
        <v>42.132657909409389</v>
      </c>
      <c r="N37" s="265">
        <f>Inputs!$C$21*(1+Inputs!$C$23)^('Firm Purchase Revenue Reqmnt'!A37-Inputs!$C$22)</f>
        <v>51.687057095603762</v>
      </c>
      <c r="O37" s="265">
        <f>Inputs!$C$24*(1+Inputs!$C$26)^('Firm Purchase Revenue Reqmnt'!A37-Inputs!$C$25)</f>
        <v>6.8705185580701524</v>
      </c>
      <c r="P37" s="131">
        <f t="shared" si="27"/>
        <v>500</v>
      </c>
      <c r="Q37" s="108">
        <f t="shared" si="10"/>
        <v>29.278787826836957</v>
      </c>
      <c r="R37" s="130"/>
      <c r="S37" s="108">
        <f t="shared" ca="1" si="3"/>
        <v>71.41144573624635</v>
      </c>
      <c r="T37"/>
      <c r="U37" s="51">
        <f>VLOOKUP($A37,'ESAI - Q3 - Base Case'!$A$346:$N$400,9)*(1+$U$8)</f>
        <v>109.41577556837643</v>
      </c>
      <c r="V37" s="51">
        <f>VLOOKUP($A37,'ESAI - Q3 - Base Case'!$D$406:$N$455,11)</f>
        <v>31.047125512885419</v>
      </c>
      <c r="W37" s="51">
        <f t="shared" si="28"/>
        <v>2.194130334799925</v>
      </c>
      <c r="X37" s="51">
        <f t="shared" si="11"/>
        <v>138.26877074646194</v>
      </c>
      <c r="Y37" s="51">
        <f t="shared" si="12"/>
        <v>142.4168338688558</v>
      </c>
      <c r="Z37" s="56"/>
      <c r="AA37" s="51">
        <f t="shared" si="13"/>
        <v>142.4168338688558</v>
      </c>
      <c r="AB37" s="81">
        <f t="shared" si="5"/>
        <v>665572.28571428568</v>
      </c>
      <c r="AC37" s="79">
        <f t="shared" si="29"/>
        <v>94788.697642286046</v>
      </c>
      <c r="AD37"/>
      <c r="AE37" s="51">
        <f>VLOOKUP($A37,'ESAI - Q3 - Base Case'!$A$346:$N$400,10)*(1+$AE$8)</f>
        <v>83.81026807105809</v>
      </c>
      <c r="AF37" s="51">
        <f t="shared" si="14"/>
        <v>31.047125512885419</v>
      </c>
      <c r="AG37" s="51">
        <f t="shared" si="15"/>
        <v>2.194130334799925</v>
      </c>
      <c r="AH37" s="51">
        <f t="shared" si="16"/>
        <v>112.66326324914358</v>
      </c>
      <c r="AI37" s="51">
        <f t="shared" si="17"/>
        <v>116.04316114661789</v>
      </c>
      <c r="AJ37" s="56">
        <f t="shared" si="18"/>
        <v>0</v>
      </c>
      <c r="AK37" s="51">
        <f t="shared" si="19"/>
        <v>116.04316114661789</v>
      </c>
      <c r="AL37" s="81">
        <f t="shared" si="20"/>
        <v>266228.91428571433</v>
      </c>
      <c r="AM37" s="79">
        <f t="shared" si="30"/>
        <v>30894.04480234627</v>
      </c>
      <c r="AN37"/>
      <c r="AO37" s="277">
        <f t="shared" si="21"/>
        <v>931801.2</v>
      </c>
      <c r="AP37" s="117">
        <f t="shared" si="22"/>
        <v>125682.74244463231</v>
      </c>
      <c r="BN37" s="50" t="s">
        <v>43</v>
      </c>
    </row>
    <row r="38" spans="1:66" ht="15" customHeight="1" x14ac:dyDescent="0.2">
      <c r="A38" s="166">
        <f t="shared" si="23"/>
        <v>2046</v>
      </c>
      <c r="B38" s="178">
        <f t="shared" si="24"/>
        <v>165</v>
      </c>
      <c r="C38" s="170">
        <f t="shared" si="7"/>
        <v>963600</v>
      </c>
      <c r="D38" s="167">
        <f t="shared" si="8"/>
        <v>688285.71428571432</v>
      </c>
      <c r="E38" s="168">
        <f t="shared" si="9"/>
        <v>275314.28571428574</v>
      </c>
      <c r="F38" s="169">
        <f t="shared" si="25"/>
        <v>3.3000000000000002E-2</v>
      </c>
      <c r="G38" s="166">
        <f t="shared" si="26"/>
        <v>2046</v>
      </c>
      <c r="H38" s="170">
        <f t="shared" si="0"/>
        <v>931801.2</v>
      </c>
      <c r="I38" s="167">
        <f t="shared" si="1"/>
        <v>665572.28571428568</v>
      </c>
      <c r="J38" s="168">
        <f t="shared" si="2"/>
        <v>266228.91428571433</v>
      </c>
      <c r="K38" s="110"/>
      <c r="L38" s="106">
        <f ca="1"/>
        <v>41.007012955748422</v>
      </c>
      <c r="N38" s="265">
        <f>Inputs!$C$21*(1+Inputs!$C$23)^('Firm Purchase Revenue Reqmnt'!A38-Inputs!$C$22)</f>
        <v>52.208062631127454</v>
      </c>
      <c r="O38" s="265">
        <f>Inputs!$C$24*(1+Inputs!$C$26)^('Firm Purchase Revenue Reqmnt'!A38-Inputs!$C$25)</f>
        <v>6.9385366917950471</v>
      </c>
      <c r="P38" s="131">
        <f t="shared" si="27"/>
        <v>500</v>
      </c>
      <c r="Q38" s="108">
        <f t="shared" si="10"/>
        <v>29.573299661461249</v>
      </c>
      <c r="R38" s="130"/>
      <c r="S38" s="108">
        <f t="shared" ca="1" si="3"/>
        <v>70.580312617209671</v>
      </c>
      <c r="T38"/>
      <c r="U38" s="51">
        <f>VLOOKUP($A38,'ESAI - Q3 - Base Case'!$A$346:$N$400,9)*(1+$U$8)</f>
        <v>109.41577556837643</v>
      </c>
      <c r="V38" s="51">
        <f>VLOOKUP($A38,'ESAI - Q3 - Base Case'!$D$406:$N$455,11)</f>
        <v>31.047125512885419</v>
      </c>
      <c r="W38" s="51">
        <f t="shared" si="28"/>
        <v>2.2160716381479242</v>
      </c>
      <c r="X38" s="51">
        <f t="shared" si="11"/>
        <v>138.24682944311394</v>
      </c>
      <c r="Y38" s="51">
        <f t="shared" si="12"/>
        <v>142.39423432640737</v>
      </c>
      <c r="Z38" s="56"/>
      <c r="AA38" s="51">
        <f t="shared" si="13"/>
        <v>142.39423432640737</v>
      </c>
      <c r="AB38" s="81">
        <f t="shared" si="5"/>
        <v>665572.28571428568</v>
      </c>
      <c r="AC38" s="79">
        <f t="shared" si="29"/>
        <v>94773.656013162559</v>
      </c>
      <c r="AD38"/>
      <c r="AE38" s="51">
        <f>VLOOKUP($A38,'ESAI - Q3 - Base Case'!$A$346:$N$400,10)*(1+$AE$8)</f>
        <v>83.81026807105809</v>
      </c>
      <c r="AF38" s="51">
        <f t="shared" si="14"/>
        <v>31.047125512885419</v>
      </c>
      <c r="AG38" s="51">
        <f t="shared" si="15"/>
        <v>2.2160716381479242</v>
      </c>
      <c r="AH38" s="51">
        <f t="shared" si="16"/>
        <v>112.64132194579558</v>
      </c>
      <c r="AI38" s="51">
        <f t="shared" si="17"/>
        <v>116.02056160416946</v>
      </c>
      <c r="AJ38" s="56">
        <f t="shared" si="18"/>
        <v>0</v>
      </c>
      <c r="AK38" s="51">
        <f t="shared" si="19"/>
        <v>116.02056160416946</v>
      </c>
      <c r="AL38" s="81">
        <f t="shared" si="20"/>
        <v>266228.91428571433</v>
      </c>
      <c r="AM38" s="79">
        <f t="shared" si="30"/>
        <v>30888.028150696871</v>
      </c>
      <c r="AN38"/>
      <c r="AO38" s="277">
        <f t="shared" si="21"/>
        <v>931801.2</v>
      </c>
      <c r="AP38" s="117">
        <f t="shared" si="22"/>
        <v>125661.68416385943</v>
      </c>
      <c r="BN38" s="50" t="s">
        <v>43</v>
      </c>
    </row>
    <row r="39" spans="1:66" ht="15" customHeight="1" x14ac:dyDescent="0.2">
      <c r="A39" s="166">
        <f t="shared" si="23"/>
        <v>2047</v>
      </c>
      <c r="B39" s="178">
        <f t="shared" si="24"/>
        <v>165</v>
      </c>
      <c r="C39" s="170">
        <f t="shared" si="7"/>
        <v>963600</v>
      </c>
      <c r="D39" s="167">
        <f t="shared" si="8"/>
        <v>688285.71428571432</v>
      </c>
      <c r="E39" s="168">
        <f t="shared" si="9"/>
        <v>275314.28571428574</v>
      </c>
      <c r="F39" s="169">
        <f t="shared" si="25"/>
        <v>3.3000000000000002E-2</v>
      </c>
      <c r="G39" s="166">
        <f t="shared" si="26"/>
        <v>2047</v>
      </c>
      <c r="H39" s="170">
        <f t="shared" si="0"/>
        <v>931801.2</v>
      </c>
      <c r="I39" s="167">
        <f t="shared" si="1"/>
        <v>665572.28571428568</v>
      </c>
      <c r="J39" s="168">
        <f t="shared" si="2"/>
        <v>266228.91428571433</v>
      </c>
      <c r="K39" s="110"/>
      <c r="L39" s="106">
        <f ca="1"/>
        <v>39.865646957066325</v>
      </c>
      <c r="N39" s="265">
        <f>Inputs!$C$21*(1+Inputs!$C$23)^('Firm Purchase Revenue Reqmnt'!A39-Inputs!$C$22)</f>
        <v>52.734319902449215</v>
      </c>
      <c r="O39" s="265">
        <f>Inputs!$C$24*(1+Inputs!$C$26)^('Firm Purchase Revenue Reqmnt'!A39-Inputs!$C$25)</f>
        <v>7.0072282050438197</v>
      </c>
      <c r="P39" s="131">
        <f t="shared" si="27"/>
        <v>500</v>
      </c>
      <c r="Q39" s="108">
        <f t="shared" si="10"/>
        <v>29.870774053746516</v>
      </c>
      <c r="R39" s="130"/>
      <c r="S39" s="108">
        <f t="shared" ca="1" si="3"/>
        <v>69.736421010812847</v>
      </c>
      <c r="T39"/>
      <c r="U39" s="51">
        <f>VLOOKUP($A39,'ESAI - Q3 - Base Case'!$A$346:$N$400,9)*(1+$U$8)</f>
        <v>109.41577556837643</v>
      </c>
      <c r="V39" s="51">
        <f>VLOOKUP($A39,'ESAI - Q3 - Base Case'!$D$406:$N$455,11)</f>
        <v>31.047125512885419</v>
      </c>
      <c r="W39" s="51">
        <f t="shared" si="28"/>
        <v>2.2382323545294036</v>
      </c>
      <c r="X39" s="51">
        <f t="shared" si="11"/>
        <v>138.22466872673246</v>
      </c>
      <c r="Y39" s="51">
        <f t="shared" si="12"/>
        <v>142.37140878853444</v>
      </c>
      <c r="Z39" s="56"/>
      <c r="AA39" s="51">
        <f t="shared" si="13"/>
        <v>142.37140878853444</v>
      </c>
      <c r="AB39" s="81">
        <f t="shared" si="5"/>
        <v>665572.28571428568</v>
      </c>
      <c r="AC39" s="79">
        <f t="shared" si="29"/>
        <v>94758.463967747812</v>
      </c>
      <c r="AD39"/>
      <c r="AE39" s="51">
        <f>VLOOKUP($A39,'ESAI - Q3 - Base Case'!$A$346:$N$400,10)*(1+$AE$8)</f>
        <v>83.81026807105809</v>
      </c>
      <c r="AF39" s="51">
        <f t="shared" si="14"/>
        <v>31.047125512885419</v>
      </c>
      <c r="AG39" s="51">
        <f t="shared" si="15"/>
        <v>2.2382323545294036</v>
      </c>
      <c r="AH39" s="51">
        <f t="shared" si="16"/>
        <v>112.6191612294141</v>
      </c>
      <c r="AI39" s="51">
        <f t="shared" si="17"/>
        <v>115.99773606629653</v>
      </c>
      <c r="AJ39" s="56">
        <f t="shared" si="18"/>
        <v>0</v>
      </c>
      <c r="AK39" s="51">
        <f t="shared" si="19"/>
        <v>115.99773606629653</v>
      </c>
      <c r="AL39" s="81">
        <f t="shared" si="20"/>
        <v>266228.91428571433</v>
      </c>
      <c r="AM39" s="79">
        <f t="shared" si="30"/>
        <v>30881.951332530971</v>
      </c>
      <c r="AN39"/>
      <c r="AO39" s="277">
        <f t="shared" si="21"/>
        <v>931801.2</v>
      </c>
      <c r="AP39" s="117">
        <f t="shared" si="22"/>
        <v>125640.41530027878</v>
      </c>
      <c r="BN39" s="50" t="s">
        <v>43</v>
      </c>
    </row>
    <row r="40" spans="1:66" ht="15" customHeight="1" x14ac:dyDescent="0.2">
      <c r="A40" s="166">
        <f t="shared" si="23"/>
        <v>2048</v>
      </c>
      <c r="B40" s="178">
        <f t="shared" si="24"/>
        <v>165</v>
      </c>
      <c r="C40" s="170">
        <f t="shared" si="7"/>
        <v>963600</v>
      </c>
      <c r="D40" s="167">
        <f t="shared" si="8"/>
        <v>688285.71428571432</v>
      </c>
      <c r="E40" s="168">
        <f t="shared" si="9"/>
        <v>275314.28571428574</v>
      </c>
      <c r="F40" s="169">
        <f t="shared" si="25"/>
        <v>3.3000000000000002E-2</v>
      </c>
      <c r="G40" s="166">
        <f t="shared" si="26"/>
        <v>2048</v>
      </c>
      <c r="H40" s="170">
        <f t="shared" si="0"/>
        <v>931801.2</v>
      </c>
      <c r="I40" s="167">
        <f t="shared" si="1"/>
        <v>665572.28571428568</v>
      </c>
      <c r="J40" s="168">
        <f t="shared" si="2"/>
        <v>266228.91428571433</v>
      </c>
      <c r="K40" s="110"/>
      <c r="L40" s="106">
        <f ca="1"/>
        <v>38.709817596964783</v>
      </c>
      <c r="N40" s="265">
        <f>Inputs!$C$21*(1+Inputs!$C$23)^('Firm Purchase Revenue Reqmnt'!A40-Inputs!$C$22)</f>
        <v>53.265881847065913</v>
      </c>
      <c r="O40" s="265">
        <f>Inputs!$C$24*(1+Inputs!$C$26)^('Firm Purchase Revenue Reqmnt'!A40-Inputs!$C$25)</f>
        <v>7.0765997642737535</v>
      </c>
      <c r="P40" s="131">
        <f t="shared" si="27"/>
        <v>500</v>
      </c>
      <c r="Q40" s="108">
        <f t="shared" si="10"/>
        <v>30.171240805669832</v>
      </c>
      <c r="R40" s="130"/>
      <c r="S40" s="108">
        <f t="shared" ca="1" si="3"/>
        <v>68.881058402634608</v>
      </c>
      <c r="T40"/>
      <c r="U40" s="51">
        <f>VLOOKUP($A40,'ESAI - Q3 - Base Case'!$A$346:$N$400,9)*(1+$U$8)</f>
        <v>109.41577556837643</v>
      </c>
      <c r="V40" s="51">
        <f>VLOOKUP($A40,'ESAI - Q3 - Base Case'!$D$406:$N$455,11)</f>
        <v>31.047125512885419</v>
      </c>
      <c r="W40" s="51">
        <f t="shared" si="28"/>
        <v>2.2606146780746976</v>
      </c>
      <c r="X40" s="51">
        <f t="shared" si="11"/>
        <v>138.20228640318717</v>
      </c>
      <c r="Y40" s="51">
        <f t="shared" si="12"/>
        <v>142.34835499528279</v>
      </c>
      <c r="Z40" s="56"/>
      <c r="AA40" s="51">
        <f t="shared" si="13"/>
        <v>142.34835499528279</v>
      </c>
      <c r="AB40" s="81">
        <f t="shared" si="5"/>
        <v>665572.28571428568</v>
      </c>
      <c r="AC40" s="79">
        <f t="shared" si="29"/>
        <v>94743.120001878924</v>
      </c>
      <c r="AD40"/>
      <c r="AE40" s="51">
        <f>VLOOKUP($A40,'ESAI - Q3 - Base Case'!$A$346:$N$400,10)*(1+$AE$8)</f>
        <v>83.81026807105809</v>
      </c>
      <c r="AF40" s="51">
        <f t="shared" si="14"/>
        <v>31.047125512885419</v>
      </c>
      <c r="AG40" s="51">
        <f t="shared" si="15"/>
        <v>2.2606146780746976</v>
      </c>
      <c r="AH40" s="51">
        <f t="shared" si="16"/>
        <v>112.5967789058688</v>
      </c>
      <c r="AI40" s="51">
        <f t="shared" si="17"/>
        <v>115.97468227304486</v>
      </c>
      <c r="AJ40" s="56">
        <f t="shared" si="18"/>
        <v>0</v>
      </c>
      <c r="AK40" s="51">
        <f t="shared" si="19"/>
        <v>115.97468227304486</v>
      </c>
      <c r="AL40" s="81">
        <f t="shared" si="20"/>
        <v>266228.91428571433</v>
      </c>
      <c r="AM40" s="79">
        <f t="shared" si="30"/>
        <v>30875.813746183416</v>
      </c>
      <c r="AN40"/>
      <c r="AO40" s="277">
        <f t="shared" si="21"/>
        <v>931801.2</v>
      </c>
      <c r="AP40" s="117">
        <f t="shared" si="22"/>
        <v>125618.93374806234</v>
      </c>
      <c r="BN40" s="50" t="s">
        <v>43</v>
      </c>
    </row>
    <row r="41" spans="1:66" ht="15" customHeight="1" x14ac:dyDescent="0.2">
      <c r="A41" s="166">
        <f t="shared" si="23"/>
        <v>2049</v>
      </c>
      <c r="B41" s="178">
        <f t="shared" si="24"/>
        <v>165</v>
      </c>
      <c r="C41" s="170">
        <f t="shared" si="7"/>
        <v>963600</v>
      </c>
      <c r="D41" s="167">
        <f t="shared" si="8"/>
        <v>688285.71428571432</v>
      </c>
      <c r="E41" s="168">
        <f t="shared" si="9"/>
        <v>275314.28571428574</v>
      </c>
      <c r="F41" s="169">
        <f t="shared" si="25"/>
        <v>3.3000000000000002E-2</v>
      </c>
      <c r="G41" s="166">
        <f t="shared" si="26"/>
        <v>2049</v>
      </c>
      <c r="H41" s="170">
        <f t="shared" si="0"/>
        <v>931801.2</v>
      </c>
      <c r="I41" s="167">
        <f t="shared" si="1"/>
        <v>665572.28571428568</v>
      </c>
      <c r="J41" s="168">
        <f t="shared" si="2"/>
        <v>266228.91428571433</v>
      </c>
      <c r="K41" s="110"/>
      <c r="L41" s="106">
        <f ca="1"/>
        <v>37.540681944357353</v>
      </c>
      <c r="N41" s="265">
        <f>Inputs!$C$21*(1+Inputs!$C$23)^('Firm Purchase Revenue Reqmnt'!A41-Inputs!$C$22)</f>
        <v>53.802801936084336</v>
      </c>
      <c r="O41" s="265">
        <f>Inputs!$C$24*(1+Inputs!$C$26)^('Firm Purchase Revenue Reqmnt'!A41-Inputs!$C$25)</f>
        <v>7.1466581019400639</v>
      </c>
      <c r="P41" s="131">
        <f t="shared" si="27"/>
        <v>500</v>
      </c>
      <c r="Q41" s="108">
        <f t="shared" si="10"/>
        <v>30.474730019012199</v>
      </c>
      <c r="R41" s="130"/>
      <c r="S41" s="108">
        <f t="shared" ca="1" si="3"/>
        <v>68.015411963369559</v>
      </c>
      <c r="T41"/>
      <c r="U41" s="51">
        <f>VLOOKUP($A41,'ESAI - Q3 - Base Case'!$A$346:$N$400,9)*(1+$U$8)</f>
        <v>109.41577556837643</v>
      </c>
      <c r="V41" s="51">
        <f>VLOOKUP($A41,'ESAI - Q3 - Base Case'!$D$406:$N$455,11)</f>
        <v>31.047125512885419</v>
      </c>
      <c r="W41" s="51">
        <f t="shared" si="28"/>
        <v>2.2832208248554444</v>
      </c>
      <c r="X41" s="51">
        <f t="shared" si="11"/>
        <v>138.17968025640641</v>
      </c>
      <c r="Y41" s="51">
        <f t="shared" si="12"/>
        <v>142.3250706640986</v>
      </c>
      <c r="Z41" s="56"/>
      <c r="AA41" s="51">
        <f t="shared" si="13"/>
        <v>142.3250706640986</v>
      </c>
      <c r="AB41" s="81">
        <f t="shared" si="5"/>
        <v>665572.28571428568</v>
      </c>
      <c r="AC41" s="79">
        <f t="shared" si="29"/>
        <v>94727.622596351343</v>
      </c>
      <c r="AD41"/>
      <c r="AE41" s="51">
        <f>VLOOKUP($A41,'ESAI - Q3 - Base Case'!$A$346:$N$400,10)*(1+$AE$8)</f>
        <v>83.81026807105809</v>
      </c>
      <c r="AF41" s="51">
        <f t="shared" si="14"/>
        <v>31.047125512885419</v>
      </c>
      <c r="AG41" s="51">
        <f t="shared" si="15"/>
        <v>2.2832208248554444</v>
      </c>
      <c r="AH41" s="51">
        <f t="shared" si="16"/>
        <v>112.57417275908806</v>
      </c>
      <c r="AI41" s="51">
        <f t="shared" si="17"/>
        <v>115.95139794186071</v>
      </c>
      <c r="AJ41" s="56">
        <f t="shared" si="18"/>
        <v>0</v>
      </c>
      <c r="AK41" s="51">
        <f t="shared" si="19"/>
        <v>115.95139794186071</v>
      </c>
      <c r="AL41" s="81">
        <f t="shared" si="20"/>
        <v>266228.91428571433</v>
      </c>
      <c r="AM41" s="79">
        <f t="shared" si="30"/>
        <v>30869.614783972385</v>
      </c>
      <c r="AN41"/>
      <c r="AO41" s="277">
        <f t="shared" si="21"/>
        <v>931801.2</v>
      </c>
      <c r="AP41" s="117">
        <f t="shared" si="22"/>
        <v>125597.23738032373</v>
      </c>
      <c r="BN41" s="50" t="s">
        <v>43</v>
      </c>
    </row>
    <row r="42" spans="1:66" ht="15" customHeight="1" x14ac:dyDescent="0.2">
      <c r="A42" s="166">
        <f t="shared" si="23"/>
        <v>2050</v>
      </c>
      <c r="B42" s="178">
        <f t="shared" si="24"/>
        <v>165</v>
      </c>
      <c r="C42" s="170">
        <f t="shared" si="7"/>
        <v>963600</v>
      </c>
      <c r="D42" s="167">
        <f t="shared" si="8"/>
        <v>688285.71428571432</v>
      </c>
      <c r="E42" s="168">
        <f t="shared" si="9"/>
        <v>275314.28571428574</v>
      </c>
      <c r="F42" s="169">
        <f t="shared" si="25"/>
        <v>3.3000000000000002E-2</v>
      </c>
      <c r="G42" s="166">
        <f t="shared" si="26"/>
        <v>2050</v>
      </c>
      <c r="H42" s="170">
        <f t="shared" si="0"/>
        <v>931801.2</v>
      </c>
      <c r="I42" s="167">
        <f t="shared" si="1"/>
        <v>665572.28571428568</v>
      </c>
      <c r="J42" s="168">
        <f t="shared" si="2"/>
        <v>266228.91428571433</v>
      </c>
      <c r="K42" s="110"/>
      <c r="L42" s="106">
        <f ca="1"/>
        <v>36.35930450264452</v>
      </c>
      <c r="N42" s="265">
        <f>Inputs!$C$21*(1+Inputs!$C$23)^('Firm Purchase Revenue Reqmnt'!A42-Inputs!$C$22)</f>
        <v>54.345134179600066</v>
      </c>
      <c r="O42" s="265">
        <f>Inputs!$C$24*(1+Inputs!$C$26)^('Firm Purchase Revenue Reqmnt'!A42-Inputs!$C$25)</f>
        <v>7.2174100171492714</v>
      </c>
      <c r="P42" s="131">
        <f t="shared" si="27"/>
        <v>500</v>
      </c>
      <c r="Q42" s="108">
        <f t="shared" si="10"/>
        <v>30.781272098374668</v>
      </c>
      <c r="R42" s="130"/>
      <c r="S42" s="108">
        <f t="shared" ca="1" si="3"/>
        <v>67.140576601019191</v>
      </c>
      <c r="T42"/>
      <c r="U42" s="51">
        <f>VLOOKUP($A42,'ESAI - Q3 - Base Case'!$A$346:$N$400,9)*(1+$U$8)</f>
        <v>109.41577556837643</v>
      </c>
      <c r="V42" s="51">
        <f>VLOOKUP($A42,'ESAI - Q3 - Base Case'!$D$406:$N$455,11)</f>
        <v>31.047125512885419</v>
      </c>
      <c r="W42" s="51">
        <f t="shared" si="28"/>
        <v>2.306053033103999</v>
      </c>
      <c r="X42" s="51">
        <f t="shared" si="11"/>
        <v>138.15684804815785</v>
      </c>
      <c r="Y42" s="51">
        <f t="shared" si="12"/>
        <v>142.30155348960258</v>
      </c>
      <c r="Z42" s="56"/>
      <c r="AA42" s="51">
        <f t="shared" si="13"/>
        <v>142.30155348960258</v>
      </c>
      <c r="AB42" s="81">
        <f t="shared" si="5"/>
        <v>665572.28571428568</v>
      </c>
      <c r="AC42" s="79">
        <f t="shared" si="29"/>
        <v>94711.970216768474</v>
      </c>
      <c r="AD42"/>
      <c r="AE42" s="51">
        <f>VLOOKUP($A42,'ESAI - Q3 - Base Case'!$A$346:$N$400,10)*(1+$AE$8)</f>
        <v>83.81026807105809</v>
      </c>
      <c r="AF42" s="51">
        <f t="shared" si="14"/>
        <v>31.047125512885419</v>
      </c>
      <c r="AG42" s="51">
        <f t="shared" si="15"/>
        <v>2.306053033103999</v>
      </c>
      <c r="AH42" s="51">
        <f t="shared" si="16"/>
        <v>112.55134055083951</v>
      </c>
      <c r="AI42" s="51">
        <f t="shared" si="17"/>
        <v>115.9278807673647</v>
      </c>
      <c r="AJ42" s="56">
        <f t="shared" si="18"/>
        <v>0</v>
      </c>
      <c r="AK42" s="51">
        <f t="shared" si="19"/>
        <v>115.9278807673647</v>
      </c>
      <c r="AL42" s="81">
        <f t="shared" si="20"/>
        <v>266228.91428571433</v>
      </c>
      <c r="AM42" s="79">
        <f t="shared" si="30"/>
        <v>30863.353832139248</v>
      </c>
      <c r="AN42"/>
      <c r="AO42" s="277">
        <f t="shared" si="21"/>
        <v>931801.2</v>
      </c>
      <c r="AP42" s="117">
        <f t="shared" si="22"/>
        <v>125575.32404890773</v>
      </c>
      <c r="BN42" s="50" t="s">
        <v>43</v>
      </c>
    </row>
    <row r="43" spans="1:66" ht="15" customHeight="1" x14ac:dyDescent="0.2">
      <c r="A43" s="166">
        <f t="shared" si="23"/>
        <v>2051</v>
      </c>
      <c r="B43" s="178">
        <f t="shared" si="24"/>
        <v>165</v>
      </c>
      <c r="C43" s="170">
        <f t="shared" si="7"/>
        <v>963600</v>
      </c>
      <c r="D43" s="167">
        <f t="shared" si="8"/>
        <v>688285.71428571432</v>
      </c>
      <c r="E43" s="168">
        <f t="shared" si="9"/>
        <v>275314.28571428574</v>
      </c>
      <c r="F43" s="169">
        <f t="shared" si="25"/>
        <v>3.3000000000000002E-2</v>
      </c>
      <c r="G43" s="166">
        <f t="shared" si="26"/>
        <v>2051</v>
      </c>
      <c r="H43" s="170">
        <f t="shared" si="0"/>
        <v>931801.2</v>
      </c>
      <c r="I43" s="167">
        <f t="shared" si="1"/>
        <v>665572.28571428568</v>
      </c>
      <c r="J43" s="168">
        <f t="shared" si="2"/>
        <v>266228.91428571433</v>
      </c>
      <c r="K43" s="110"/>
      <c r="L43" s="106">
        <f ca="1"/>
        <v>35.166664614954691</v>
      </c>
      <c r="N43" s="265">
        <f>Inputs!$C$21*(1+Inputs!$C$23)^('Firm Purchase Revenue Reqmnt'!A43-Inputs!$C$22)</f>
        <v>54.892933132130445</v>
      </c>
      <c r="O43" s="265">
        <f>Inputs!$C$24*(1+Inputs!$C$26)^('Firm Purchase Revenue Reqmnt'!A43-Inputs!$C$25)</f>
        <v>7.2888623763190497</v>
      </c>
      <c r="P43" s="131">
        <f t="shared" si="27"/>
        <v>500</v>
      </c>
      <c r="Q43" s="108">
        <f t="shared" si="10"/>
        <v>31.090897754224748</v>
      </c>
      <c r="R43" s="130"/>
      <c r="S43" s="108">
        <f t="shared" ca="1" si="3"/>
        <v>66.257562369179439</v>
      </c>
      <c r="T43"/>
      <c r="U43" s="51">
        <f>VLOOKUP($A43,'ESAI - Q3 - Base Case'!$A$346:$N$400,9)*(1+$U$8)</f>
        <v>109.41577556837643</v>
      </c>
      <c r="V43" s="51">
        <f>VLOOKUP($A43,'ESAI - Q3 - Base Case'!$D$406:$N$455,11)</f>
        <v>31.047125512885419</v>
      </c>
      <c r="W43" s="51">
        <f t="shared" si="28"/>
        <v>2.3291135634350391</v>
      </c>
      <c r="X43" s="51">
        <f t="shared" si="11"/>
        <v>138.13378751782682</v>
      </c>
      <c r="Y43" s="51">
        <f t="shared" si="12"/>
        <v>142.27780114336161</v>
      </c>
      <c r="Z43" s="56"/>
      <c r="AA43" s="51">
        <f t="shared" si="13"/>
        <v>142.27780114336161</v>
      </c>
      <c r="AB43" s="81">
        <f t="shared" si="5"/>
        <v>665572.28571428568</v>
      </c>
      <c r="AC43" s="79">
        <f t="shared" si="29"/>
        <v>94696.161313389792</v>
      </c>
      <c r="AD43"/>
      <c r="AE43" s="51">
        <f>VLOOKUP($A43,'ESAI - Q3 - Base Case'!$A$346:$N$400,10)*(1+$AE$8)</f>
        <v>83.81026807105809</v>
      </c>
      <c r="AF43" s="51">
        <f t="shared" si="14"/>
        <v>31.047125512885419</v>
      </c>
      <c r="AG43" s="51">
        <f t="shared" si="15"/>
        <v>2.3291135634350391</v>
      </c>
      <c r="AH43" s="51">
        <f t="shared" si="16"/>
        <v>112.52828002050846</v>
      </c>
      <c r="AI43" s="51">
        <f t="shared" si="17"/>
        <v>115.90412842112372</v>
      </c>
      <c r="AJ43" s="56">
        <f t="shared" si="18"/>
        <v>0</v>
      </c>
      <c r="AK43" s="51">
        <f t="shared" si="19"/>
        <v>115.90412842112372</v>
      </c>
      <c r="AL43" s="81">
        <f t="shared" si="20"/>
        <v>266228.91428571433</v>
      </c>
      <c r="AM43" s="79">
        <f t="shared" si="30"/>
        <v>30857.030270787771</v>
      </c>
      <c r="AN43"/>
      <c r="AO43" s="277">
        <f t="shared" si="21"/>
        <v>931801.2</v>
      </c>
      <c r="AP43" s="117">
        <f t="shared" si="22"/>
        <v>125553.19158417756</v>
      </c>
      <c r="BN43" s="50" t="s">
        <v>43</v>
      </c>
    </row>
    <row r="44" spans="1:66" ht="15" customHeight="1" x14ac:dyDescent="0.2">
      <c r="A44" s="166">
        <f t="shared" si="23"/>
        <v>2052</v>
      </c>
      <c r="B44" s="178">
        <f t="shared" si="24"/>
        <v>165</v>
      </c>
      <c r="C44" s="170">
        <f t="shared" si="7"/>
        <v>963600</v>
      </c>
      <c r="D44" s="167">
        <f t="shared" si="8"/>
        <v>688285.71428571432</v>
      </c>
      <c r="E44" s="168">
        <f t="shared" si="9"/>
        <v>275314.28571428574</v>
      </c>
      <c r="F44" s="169">
        <f t="shared" si="25"/>
        <v>3.3000000000000002E-2</v>
      </c>
      <c r="G44" s="166">
        <f t="shared" si="26"/>
        <v>2052</v>
      </c>
      <c r="H44" s="170">
        <f t="shared" si="0"/>
        <v>931801.2</v>
      </c>
      <c r="I44" s="167">
        <f t="shared" si="1"/>
        <v>665572.28571428568</v>
      </c>
      <c r="J44" s="168">
        <f t="shared" si="2"/>
        <v>266228.91428571433</v>
      </c>
      <c r="K44" s="110"/>
      <c r="L44" s="106">
        <f ca="1"/>
        <v>33.963663276966045</v>
      </c>
      <c r="N44" s="265">
        <f>Inputs!$C$21*(1+Inputs!$C$23)^('Firm Purchase Revenue Reqmnt'!A44-Inputs!$C$22)</f>
        <v>55.44625389810232</v>
      </c>
      <c r="O44" s="265">
        <f>Inputs!$C$24*(1+Inputs!$C$26)^('Firm Purchase Revenue Reqmnt'!A44-Inputs!$C$25)</f>
        <v>7.3610221138446086</v>
      </c>
      <c r="P44" s="131">
        <f t="shared" si="27"/>
        <v>500</v>
      </c>
      <c r="Q44" s="108">
        <f t="shared" si="10"/>
        <v>31.403638005973463</v>
      </c>
      <c r="R44" s="130"/>
      <c r="S44" s="108">
        <f t="shared" ca="1" si="3"/>
        <v>65.367301282939508</v>
      </c>
      <c r="T44"/>
      <c r="U44" s="51">
        <f>VLOOKUP($A44,'ESAI - Q3 - Base Case'!$A$346:$N$400,9)*(1+$U$8)</f>
        <v>109.41577556837643</v>
      </c>
      <c r="V44" s="51">
        <f>VLOOKUP($A44,'ESAI - Q3 - Base Case'!$D$406:$N$455,11)</f>
        <v>31.047125512885419</v>
      </c>
      <c r="W44" s="51">
        <f t="shared" si="28"/>
        <v>2.3524046990693894</v>
      </c>
      <c r="X44" s="51">
        <f t="shared" si="11"/>
        <v>138.11049638219248</v>
      </c>
      <c r="Y44" s="51">
        <f t="shared" si="12"/>
        <v>142.25381127365827</v>
      </c>
      <c r="Z44" s="56"/>
      <c r="AA44" s="51">
        <f t="shared" si="13"/>
        <v>142.25381127365827</v>
      </c>
      <c r="AB44" s="81">
        <f t="shared" si="5"/>
        <v>665572.28571428568</v>
      </c>
      <c r="AC44" s="79">
        <f t="shared" si="29"/>
        <v>94680.19432097736</v>
      </c>
      <c r="AD44"/>
      <c r="AE44" s="51">
        <f>VLOOKUP($A44,'ESAI - Q3 - Base Case'!$A$346:$N$400,10)*(1+$AE$8)</f>
        <v>83.81026807105809</v>
      </c>
      <c r="AF44" s="51">
        <f t="shared" si="14"/>
        <v>31.047125512885419</v>
      </c>
      <c r="AG44" s="51">
        <f t="shared" si="15"/>
        <v>2.3524046990693894</v>
      </c>
      <c r="AH44" s="51">
        <f t="shared" si="16"/>
        <v>112.50498888487411</v>
      </c>
      <c r="AI44" s="51">
        <f t="shared" si="17"/>
        <v>115.88013855142033</v>
      </c>
      <c r="AJ44" s="56">
        <f t="shared" si="18"/>
        <v>0</v>
      </c>
      <c r="AK44" s="51">
        <f t="shared" si="19"/>
        <v>115.88013855142033</v>
      </c>
      <c r="AL44" s="81">
        <f t="shared" si="20"/>
        <v>266228.91428571433</v>
      </c>
      <c r="AM44" s="79">
        <f t="shared" si="30"/>
        <v>30850.643473822784</v>
      </c>
      <c r="AN44"/>
      <c r="AO44" s="277">
        <f t="shared" si="21"/>
        <v>931801.2</v>
      </c>
      <c r="AP44" s="117">
        <f t="shared" si="22"/>
        <v>125530.83779480014</v>
      </c>
      <c r="BN44" s="50" t="s">
        <v>43</v>
      </c>
    </row>
    <row r="45" spans="1:66" ht="15" customHeight="1" x14ac:dyDescent="0.2">
      <c r="A45" s="166">
        <f t="shared" si="23"/>
        <v>2053</v>
      </c>
      <c r="B45" s="178">
        <f t="shared" si="24"/>
        <v>165</v>
      </c>
      <c r="C45" s="170">
        <f t="shared" si="7"/>
        <v>963600</v>
      </c>
      <c r="D45" s="167">
        <f t="shared" si="8"/>
        <v>688285.71428571432</v>
      </c>
      <c r="E45" s="168">
        <f t="shared" si="9"/>
        <v>275314.28571428574</v>
      </c>
      <c r="F45" s="169">
        <f t="shared" si="25"/>
        <v>3.3000000000000002E-2</v>
      </c>
      <c r="G45" s="166">
        <f t="shared" si="26"/>
        <v>2053</v>
      </c>
      <c r="H45" s="170">
        <f t="shared" si="0"/>
        <v>931801.2</v>
      </c>
      <c r="I45" s="167">
        <f t="shared" si="1"/>
        <v>665572.28571428568</v>
      </c>
      <c r="J45" s="168">
        <f t="shared" si="2"/>
        <v>266228.91428571433</v>
      </c>
      <c r="K45" s="110"/>
      <c r="L45" s="106">
        <f ca="1"/>
        <v>32.751129404702475</v>
      </c>
      <c r="N45" s="265">
        <f>Inputs!$C$21*(1+Inputs!$C$23)^('Firm Purchase Revenue Reqmnt'!A45-Inputs!$C$22)</f>
        <v>56.005152137395186</v>
      </c>
      <c r="O45" s="265">
        <f>Inputs!$C$24*(1+Inputs!$C$26)^('Firm Purchase Revenue Reqmnt'!A45-Inputs!$C$25)</f>
        <v>7.4338962327716711</v>
      </c>
      <c r="P45" s="131">
        <f t="shared" si="27"/>
        <v>500</v>
      </c>
      <c r="Q45" s="108">
        <f t="shared" si="10"/>
        <v>31.719524185083429</v>
      </c>
      <c r="R45" s="130"/>
      <c r="S45" s="108">
        <f t="shared" ca="1" si="3"/>
        <v>64.470653589785911</v>
      </c>
      <c r="T45"/>
      <c r="U45" s="51">
        <f>VLOOKUP($A45,'ESAI - Q3 - Base Case'!$A$346:$N$400,9)*(1+$U$8)</f>
        <v>109.41577556837643</v>
      </c>
      <c r="V45" s="51">
        <f>VLOOKUP($A45,'ESAI - Q3 - Base Case'!$D$406:$N$455,11)</f>
        <v>31.047125512885419</v>
      </c>
      <c r="W45" s="51">
        <f t="shared" si="28"/>
        <v>2.3759287460600835</v>
      </c>
      <c r="X45" s="51">
        <f t="shared" si="11"/>
        <v>138.08697233520178</v>
      </c>
      <c r="Y45" s="51">
        <f t="shared" si="12"/>
        <v>142.22958150525784</v>
      </c>
      <c r="Z45" s="56"/>
      <c r="AA45" s="51">
        <f t="shared" si="13"/>
        <v>142.22958150525784</v>
      </c>
      <c r="AB45" s="81">
        <f t="shared" si="5"/>
        <v>665572.28571428568</v>
      </c>
      <c r="AC45" s="79">
        <f t="shared" si="29"/>
        <v>94664.067658640764</v>
      </c>
      <c r="AD45"/>
      <c r="AE45" s="51">
        <f>VLOOKUP($A45,'ESAI - Q3 - Base Case'!$A$346:$N$400,10)*(1+$AE$8)</f>
        <v>83.81026807105809</v>
      </c>
      <c r="AF45" s="51">
        <f t="shared" si="14"/>
        <v>31.047125512885419</v>
      </c>
      <c r="AG45" s="51">
        <f t="shared" si="15"/>
        <v>2.3759287460600835</v>
      </c>
      <c r="AH45" s="51">
        <f t="shared" si="16"/>
        <v>112.48146483788342</v>
      </c>
      <c r="AI45" s="51">
        <f t="shared" si="17"/>
        <v>115.85590878301993</v>
      </c>
      <c r="AJ45" s="56">
        <f t="shared" si="18"/>
        <v>0</v>
      </c>
      <c r="AK45" s="51">
        <f t="shared" si="19"/>
        <v>115.85590878301993</v>
      </c>
      <c r="AL45" s="81">
        <f t="shared" si="20"/>
        <v>266228.91428571433</v>
      </c>
      <c r="AM45" s="79">
        <f t="shared" si="30"/>
        <v>30844.192808888147</v>
      </c>
      <c r="AN45"/>
      <c r="AO45" s="277">
        <f t="shared" si="21"/>
        <v>931801.2</v>
      </c>
      <c r="AP45" s="117">
        <f t="shared" si="22"/>
        <v>125508.26046752892</v>
      </c>
      <c r="BN45" s="50" t="s">
        <v>43</v>
      </c>
    </row>
    <row r="46" spans="1:66" ht="15" customHeight="1" x14ac:dyDescent="0.2">
      <c r="A46" s="166">
        <f t="shared" si="23"/>
        <v>2054</v>
      </c>
      <c r="B46" s="178">
        <f t="shared" si="24"/>
        <v>165</v>
      </c>
      <c r="C46" s="170">
        <f t="shared" si="7"/>
        <v>963600</v>
      </c>
      <c r="D46" s="167">
        <f t="shared" si="8"/>
        <v>688285.71428571432</v>
      </c>
      <c r="E46" s="168">
        <f t="shared" si="9"/>
        <v>275314.28571428574</v>
      </c>
      <c r="F46" s="169">
        <f t="shared" si="25"/>
        <v>3.3000000000000002E-2</v>
      </c>
      <c r="G46" s="166">
        <f t="shared" si="26"/>
        <v>2054</v>
      </c>
      <c r="H46" s="170">
        <f t="shared" si="0"/>
        <v>931801.2</v>
      </c>
      <c r="I46" s="167">
        <f t="shared" si="1"/>
        <v>665572.28571428568</v>
      </c>
      <c r="J46" s="168">
        <f t="shared" si="2"/>
        <v>266228.91428571433</v>
      </c>
      <c r="K46" s="110"/>
      <c r="L46" s="106">
        <f ca="1"/>
        <v>31.529825600905987</v>
      </c>
      <c r="N46" s="265">
        <f>Inputs!$C$21*(1+Inputs!$C$23)^('Firm Purchase Revenue Reqmnt'!A46-Inputs!$C$22)</f>
        <v>56.569684070940134</v>
      </c>
      <c r="O46" s="265">
        <f>Inputs!$C$24*(1+Inputs!$C$26)^('Firm Purchase Revenue Reqmnt'!A46-Inputs!$C$25)</f>
        <v>7.5074918054761106</v>
      </c>
      <c r="P46" s="131">
        <f t="shared" si="27"/>
        <v>500</v>
      </c>
      <c r="Q46" s="108">
        <f t="shared" si="10"/>
        <v>32.038587938208124</v>
      </c>
      <c r="R46" s="130"/>
      <c r="S46" s="108">
        <f t="shared" ca="1" si="3"/>
        <v>63.568413539114111</v>
      </c>
      <c r="T46"/>
      <c r="U46" s="51">
        <f>VLOOKUP($A46,'ESAI - Q3 - Base Case'!$A$346:$N$400,9)*(1+$U$8)</f>
        <v>109.41577556837643</v>
      </c>
      <c r="V46" s="51">
        <f>VLOOKUP($A46,'ESAI - Q3 - Base Case'!$D$406:$N$455,11)</f>
        <v>31.047125512885419</v>
      </c>
      <c r="W46" s="51">
        <f t="shared" si="28"/>
        <v>2.3996880335206843</v>
      </c>
      <c r="X46" s="51">
        <f t="shared" si="11"/>
        <v>138.06321304774119</v>
      </c>
      <c r="Y46" s="51">
        <f t="shared" si="12"/>
        <v>142.20510943917341</v>
      </c>
      <c r="Z46" s="56"/>
      <c r="AA46" s="51">
        <f t="shared" si="13"/>
        <v>142.20510943917341</v>
      </c>
      <c r="AB46" s="81">
        <f t="shared" si="5"/>
        <v>665572.28571428568</v>
      </c>
      <c r="AC46" s="79">
        <f t="shared" si="29"/>
        <v>94647.779729680798</v>
      </c>
      <c r="AD46"/>
      <c r="AE46" s="51">
        <f>VLOOKUP($A46,'ESAI - Q3 - Base Case'!$A$346:$N$400,10)*(1+$AE$8)</f>
        <v>83.81026807105809</v>
      </c>
      <c r="AF46" s="51">
        <f t="shared" si="14"/>
        <v>31.047125512885419</v>
      </c>
      <c r="AG46" s="51">
        <f t="shared" si="15"/>
        <v>2.3996880335206843</v>
      </c>
      <c r="AH46" s="51">
        <f t="shared" si="16"/>
        <v>112.45770555042282</v>
      </c>
      <c r="AI46" s="51">
        <f t="shared" si="17"/>
        <v>115.8314367169355</v>
      </c>
      <c r="AJ46" s="56">
        <f t="shared" si="18"/>
        <v>0</v>
      </c>
      <c r="AK46" s="51">
        <f t="shared" si="19"/>
        <v>115.8314367169355</v>
      </c>
      <c r="AL46" s="81">
        <f t="shared" si="20"/>
        <v>266228.91428571433</v>
      </c>
      <c r="AM46" s="79">
        <f t="shared" si="30"/>
        <v>30837.677637304165</v>
      </c>
      <c r="AN46"/>
      <c r="AO46" s="277">
        <f t="shared" si="21"/>
        <v>931801.2</v>
      </c>
      <c r="AP46" s="117">
        <f t="shared" si="22"/>
        <v>125485.45736698496</v>
      </c>
      <c r="BN46" s="50" t="s">
        <v>43</v>
      </c>
    </row>
    <row r="47" spans="1:66" ht="15" customHeight="1" x14ac:dyDescent="0.2">
      <c r="A47" s="166">
        <f t="shared" si="23"/>
        <v>2055</v>
      </c>
      <c r="B47" s="178">
        <f t="shared" si="24"/>
        <v>165</v>
      </c>
      <c r="C47" s="170">
        <f t="shared" si="7"/>
        <v>963600</v>
      </c>
      <c r="D47" s="167">
        <f t="shared" si="8"/>
        <v>688285.71428571432</v>
      </c>
      <c r="E47" s="168">
        <f t="shared" si="9"/>
        <v>275314.28571428574</v>
      </c>
      <c r="F47" s="169">
        <f t="shared" si="25"/>
        <v>3.3000000000000002E-2</v>
      </c>
      <c r="G47" s="166">
        <f t="shared" si="26"/>
        <v>2055</v>
      </c>
      <c r="H47" s="170">
        <f t="shared" si="0"/>
        <v>931801.2</v>
      </c>
      <c r="I47" s="167">
        <f t="shared" si="1"/>
        <v>665572.28571428568</v>
      </c>
      <c r="J47" s="168">
        <f t="shared" si="2"/>
        <v>266228.91428571433</v>
      </c>
      <c r="K47" s="110"/>
      <c r="L47" s="106">
        <f ca="1"/>
        <v>30.300453460099206</v>
      </c>
      <c r="N47" s="265">
        <f>Inputs!$C$21*(1+Inputs!$C$23)^('Firm Purchase Revenue Reqmnt'!A47-Inputs!$C$22)</f>
        <v>57.139906486375224</v>
      </c>
      <c r="O47" s="265">
        <f>Inputs!$C$24*(1+Inputs!$C$26)^('Firm Purchase Revenue Reqmnt'!A47-Inputs!$C$25)</f>
        <v>7.5818159743503255</v>
      </c>
      <c r="P47" s="131">
        <f t="shared" si="27"/>
        <v>500</v>
      </c>
      <c r="Q47" s="108">
        <f t="shared" si="10"/>
        <v>32.360861230362772</v>
      </c>
      <c r="R47" s="130"/>
      <c r="S47" s="108">
        <f t="shared" ca="1" si="3"/>
        <v>62.661314690461978</v>
      </c>
      <c r="T47"/>
      <c r="U47" s="51">
        <f>VLOOKUP($A47,'ESAI - Q3 - Base Case'!$A$346:$N$400,9)*(1+$U$8)</f>
        <v>109.41577556837643</v>
      </c>
      <c r="V47" s="51">
        <f>VLOOKUP($A47,'ESAI - Q3 - Base Case'!$D$406:$N$455,11)</f>
        <v>31.047125512885419</v>
      </c>
      <c r="W47" s="51">
        <f t="shared" si="28"/>
        <v>2.4236849138558911</v>
      </c>
      <c r="X47" s="51">
        <f t="shared" si="11"/>
        <v>138.03921616740598</v>
      </c>
      <c r="Y47" s="51">
        <f t="shared" si="12"/>
        <v>142.18039265242817</v>
      </c>
      <c r="Z47" s="56"/>
      <c r="AA47" s="51">
        <f t="shared" si="13"/>
        <v>142.18039265242817</v>
      </c>
      <c r="AB47" s="81">
        <f t="shared" si="5"/>
        <v>665572.28571428568</v>
      </c>
      <c r="AC47" s="79">
        <f t="shared" si="29"/>
        <v>94631.328921431239</v>
      </c>
      <c r="AD47"/>
      <c r="AE47" s="51">
        <f>VLOOKUP($A47,'ESAI - Q3 - Base Case'!$A$346:$N$400,10)*(1+$AE$8)</f>
        <v>83.81026807105809</v>
      </c>
      <c r="AF47" s="51">
        <f t="shared" si="14"/>
        <v>31.047125512885419</v>
      </c>
      <c r="AG47" s="51">
        <f t="shared" si="15"/>
        <v>2.4236849138558911</v>
      </c>
      <c r="AH47" s="51">
        <f t="shared" si="16"/>
        <v>112.43370867008761</v>
      </c>
      <c r="AI47" s="51">
        <f t="shared" si="17"/>
        <v>115.80671993019024</v>
      </c>
      <c r="AJ47" s="56">
        <f t="shared" si="18"/>
        <v>0</v>
      </c>
      <c r="AK47" s="51">
        <f t="shared" si="19"/>
        <v>115.80671993019024</v>
      </c>
      <c r="AL47" s="81">
        <f t="shared" si="20"/>
        <v>266228.91428571433</v>
      </c>
      <c r="AM47" s="79">
        <f t="shared" si="30"/>
        <v>30831.097314004342</v>
      </c>
      <c r="AN47"/>
      <c r="AO47" s="277">
        <f t="shared" si="21"/>
        <v>931801.2</v>
      </c>
      <c r="AP47" s="117">
        <f t="shared" si="22"/>
        <v>125462.42623543559</v>
      </c>
      <c r="BN47" s="50" t="s">
        <v>43</v>
      </c>
    </row>
    <row r="48" spans="1:66" ht="15" customHeight="1" x14ac:dyDescent="0.2">
      <c r="A48" s="166">
        <f t="shared" si="23"/>
        <v>2056</v>
      </c>
      <c r="B48" s="178">
        <f t="shared" si="24"/>
        <v>165</v>
      </c>
      <c r="C48" s="170">
        <f t="shared" si="7"/>
        <v>963600</v>
      </c>
      <c r="D48" s="167">
        <f t="shared" si="8"/>
        <v>688285.71428571432</v>
      </c>
      <c r="E48" s="168">
        <f t="shared" si="9"/>
        <v>275314.28571428574</v>
      </c>
      <c r="F48" s="169">
        <f t="shared" si="25"/>
        <v>3.3000000000000002E-2</v>
      </c>
      <c r="G48" s="166">
        <f t="shared" si="26"/>
        <v>2056</v>
      </c>
      <c r="H48" s="170">
        <f t="shared" si="0"/>
        <v>931801.2</v>
      </c>
      <c r="I48" s="167">
        <f t="shared" si="1"/>
        <v>665572.28571428568</v>
      </c>
      <c r="J48" s="168">
        <f t="shared" si="2"/>
        <v>266228.91428571433</v>
      </c>
      <c r="K48" s="110"/>
      <c r="L48" s="106">
        <f ca="1"/>
        <v>29.063658449242954</v>
      </c>
      <c r="N48" s="265">
        <f>Inputs!$C$21*(1+Inputs!$C$23)^('Firm Purchase Revenue Reqmnt'!A48-Inputs!$C$22)</f>
        <v>57.715876743757889</v>
      </c>
      <c r="O48" s="265">
        <f>Inputs!$C$24*(1+Inputs!$C$26)^('Firm Purchase Revenue Reqmnt'!A48-Inputs!$C$25)</f>
        <v>7.6568759524963941</v>
      </c>
      <c r="P48" s="131">
        <f t="shared" si="27"/>
        <v>500</v>
      </c>
      <c r="Q48" s="108">
        <f t="shared" si="10"/>
        <v>32.686376348127141</v>
      </c>
      <c r="R48" s="130"/>
      <c r="S48" s="108">
        <f t="shared" ca="1" si="3"/>
        <v>61.750034797370091</v>
      </c>
      <c r="T48"/>
      <c r="U48" s="51">
        <f>VLOOKUP($A48,'ESAI - Q3 - Base Case'!$A$346:$N$400,9)*(1+$U$8)</f>
        <v>109.41577556837643</v>
      </c>
      <c r="V48" s="51">
        <f>VLOOKUP($A48,'ESAI - Q3 - Base Case'!$D$406:$N$455,11)</f>
        <v>31.047125512885419</v>
      </c>
      <c r="W48" s="51">
        <f t="shared" si="28"/>
        <v>2.4479217629944499</v>
      </c>
      <c r="X48" s="51">
        <f t="shared" si="11"/>
        <v>138.01497931826742</v>
      </c>
      <c r="Y48" s="51">
        <f t="shared" si="12"/>
        <v>142.15542869781544</v>
      </c>
      <c r="Z48" s="56"/>
      <c r="AA48" s="51">
        <f t="shared" si="13"/>
        <v>142.15542869781544</v>
      </c>
      <c r="AB48" s="81">
        <f t="shared" si="5"/>
        <v>665572.28571428568</v>
      </c>
      <c r="AC48" s="79">
        <f t="shared" si="29"/>
        <v>94614.713605099183</v>
      </c>
      <c r="AD48"/>
      <c r="AE48" s="51">
        <f>VLOOKUP($A48,'ESAI - Q3 - Base Case'!$A$346:$N$400,10)*(1+$AE$8)</f>
        <v>83.81026807105809</v>
      </c>
      <c r="AF48" s="51">
        <f t="shared" si="14"/>
        <v>31.047125512885419</v>
      </c>
      <c r="AG48" s="51">
        <f t="shared" si="15"/>
        <v>2.4479217629944499</v>
      </c>
      <c r="AH48" s="51">
        <f t="shared" si="16"/>
        <v>112.40947182094905</v>
      </c>
      <c r="AI48" s="51">
        <f t="shared" si="17"/>
        <v>115.78175597557752</v>
      </c>
      <c r="AJ48" s="56">
        <f t="shared" si="18"/>
        <v>0</v>
      </c>
      <c r="AK48" s="51">
        <f t="shared" si="19"/>
        <v>115.78175597557752</v>
      </c>
      <c r="AL48" s="81">
        <f t="shared" si="20"/>
        <v>266228.91428571433</v>
      </c>
      <c r="AM48" s="79">
        <f t="shared" si="30"/>
        <v>30824.451187471521</v>
      </c>
      <c r="AN48"/>
      <c r="AO48" s="277">
        <f t="shared" si="21"/>
        <v>931801.2</v>
      </c>
      <c r="AP48" s="117">
        <f t="shared" si="22"/>
        <v>125439.16479257071</v>
      </c>
      <c r="BN48" s="50" t="s">
        <v>43</v>
      </c>
    </row>
    <row r="49" spans="1:66" ht="15" customHeight="1" x14ac:dyDescent="0.2">
      <c r="A49" s="166">
        <f t="shared" si="23"/>
        <v>2057</v>
      </c>
      <c r="B49" s="178">
        <f t="shared" si="24"/>
        <v>165</v>
      </c>
      <c r="C49" s="170">
        <f t="shared" si="7"/>
        <v>963600</v>
      </c>
      <c r="D49" s="167">
        <f t="shared" si="8"/>
        <v>688285.71428571432</v>
      </c>
      <c r="E49" s="168">
        <f t="shared" si="9"/>
        <v>275314.28571428574</v>
      </c>
      <c r="F49" s="169">
        <f t="shared" si="25"/>
        <v>3.3000000000000002E-2</v>
      </c>
      <c r="G49" s="166">
        <f t="shared" si="26"/>
        <v>2057</v>
      </c>
      <c r="H49" s="170">
        <f t="shared" si="0"/>
        <v>931801.2</v>
      </c>
      <c r="I49" s="167">
        <f t="shared" si="1"/>
        <v>665572.28571428568</v>
      </c>
      <c r="J49" s="168">
        <f t="shared" si="2"/>
        <v>266228.91428571433</v>
      </c>
      <c r="K49" s="110"/>
      <c r="L49" s="106">
        <f ca="1"/>
        <v>27.820034397941207</v>
      </c>
      <c r="N49" s="265">
        <f>Inputs!$C$21*(1+Inputs!$C$23)^('Firm Purchase Revenue Reqmnt'!A49-Inputs!$C$22)</f>
        <v>58.297652781334968</v>
      </c>
      <c r="O49" s="265">
        <f>Inputs!$C$24*(1+Inputs!$C$26)^('Firm Purchase Revenue Reqmnt'!A49-Inputs!$C$25)</f>
        <v>7.7326790244261092</v>
      </c>
      <c r="P49" s="131">
        <f t="shared" si="27"/>
        <v>500</v>
      </c>
      <c r="Q49" s="108">
        <f t="shared" si="10"/>
        <v>33.01516590288054</v>
      </c>
      <c r="R49" s="130"/>
      <c r="S49" s="108">
        <f t="shared" ca="1" si="3"/>
        <v>60.835200300821747</v>
      </c>
      <c r="T49"/>
      <c r="U49" s="51">
        <f>VLOOKUP($A49,'ESAI - Q3 - Base Case'!$A$346:$N$400,9)*(1+$U$8)</f>
        <v>109.41577556837643</v>
      </c>
      <c r="V49" s="51">
        <f>VLOOKUP($A49,'ESAI - Q3 - Base Case'!$D$406:$N$455,11)</f>
        <v>31.047125512885419</v>
      </c>
      <c r="W49" s="51">
        <f t="shared" si="28"/>
        <v>2.4724009806243945</v>
      </c>
      <c r="X49" s="51">
        <f t="shared" si="11"/>
        <v>137.99050010063746</v>
      </c>
      <c r="Y49" s="51">
        <f t="shared" si="12"/>
        <v>142.13021510365658</v>
      </c>
      <c r="Z49" s="56"/>
      <c r="AA49" s="51">
        <f t="shared" si="13"/>
        <v>142.13021510365658</v>
      </c>
      <c r="AB49" s="81">
        <f t="shared" si="5"/>
        <v>665572.28571428568</v>
      </c>
      <c r="AC49" s="79">
        <f t="shared" si="29"/>
        <v>94597.932135603798</v>
      </c>
      <c r="AD49"/>
      <c r="AE49" s="51">
        <f>VLOOKUP($A49,'ESAI - Q3 - Base Case'!$A$346:$N$400,10)*(1+$AE$8)</f>
        <v>83.81026807105809</v>
      </c>
      <c r="AF49" s="51">
        <f t="shared" si="14"/>
        <v>31.047125512885419</v>
      </c>
      <c r="AG49" s="51">
        <f t="shared" si="15"/>
        <v>2.4724009806243945</v>
      </c>
      <c r="AH49" s="51">
        <f t="shared" si="16"/>
        <v>112.38499260331911</v>
      </c>
      <c r="AI49" s="51">
        <f t="shared" si="17"/>
        <v>115.75654238141868</v>
      </c>
      <c r="AJ49" s="56">
        <f t="shared" si="18"/>
        <v>0</v>
      </c>
      <c r="AK49" s="51">
        <f t="shared" si="19"/>
        <v>115.75654238141868</v>
      </c>
      <c r="AL49" s="81">
        <f t="shared" si="20"/>
        <v>266228.91428571433</v>
      </c>
      <c r="AM49" s="79">
        <f t="shared" si="30"/>
        <v>30817.738599673372</v>
      </c>
      <c r="AN49"/>
      <c r="AO49" s="277">
        <f t="shared" si="21"/>
        <v>931801.2</v>
      </c>
      <c r="AP49" s="117">
        <f t="shared" si="22"/>
        <v>125415.67073527718</v>
      </c>
      <c r="BN49" s="50" t="s">
        <v>43</v>
      </c>
    </row>
    <row r="50" spans="1:66" ht="15" customHeight="1" x14ac:dyDescent="0.2">
      <c r="A50" s="166">
        <f t="shared" si="23"/>
        <v>2058</v>
      </c>
      <c r="B50" s="178">
        <f t="shared" si="24"/>
        <v>165</v>
      </c>
      <c r="C50" s="170">
        <f t="shared" si="7"/>
        <v>963600</v>
      </c>
      <c r="D50" s="167">
        <f t="shared" si="8"/>
        <v>688285.71428571432</v>
      </c>
      <c r="E50" s="168">
        <f t="shared" si="9"/>
        <v>275314.28571428574</v>
      </c>
      <c r="F50" s="169">
        <f t="shared" si="25"/>
        <v>3.3000000000000002E-2</v>
      </c>
      <c r="G50" s="166">
        <f t="shared" si="26"/>
        <v>2058</v>
      </c>
      <c r="H50" s="170">
        <f t="shared" si="0"/>
        <v>931801.2</v>
      </c>
      <c r="I50" s="167">
        <f t="shared" si="1"/>
        <v>665572.28571428568</v>
      </c>
      <c r="J50" s="168">
        <f t="shared" si="2"/>
        <v>266228.91428571433</v>
      </c>
      <c r="K50" s="110"/>
      <c r="L50" s="106">
        <f ca="1"/>
        <v>26.570127629429578</v>
      </c>
      <c r="N50" s="265">
        <f>Inputs!$C$21*(1+Inputs!$C$23)^('Firm Purchase Revenue Reqmnt'!A50-Inputs!$C$22)</f>
        <v>58.885293121370829</v>
      </c>
      <c r="O50" s="265">
        <f>Inputs!$C$24*(1+Inputs!$C$26)^('Firm Purchase Revenue Reqmnt'!A50-Inputs!$C$25)</f>
        <v>7.8092325467679267</v>
      </c>
      <c r="P50" s="131">
        <f t="shared" si="27"/>
        <v>500</v>
      </c>
      <c r="Q50" s="108">
        <f t="shared" si="10"/>
        <v>33.347262834069376</v>
      </c>
      <c r="R50" s="130"/>
      <c r="S50" s="108">
        <f t="shared" ca="1" si="3"/>
        <v>59.917390463498954</v>
      </c>
      <c r="T50"/>
      <c r="U50" s="51">
        <f>VLOOKUP($A50,'ESAI - Q3 - Base Case'!$A$346:$N$400,9)*(1+$U$8)</f>
        <v>109.41577556837643</v>
      </c>
      <c r="V50" s="51">
        <f>VLOOKUP($A50,'ESAI - Q3 - Base Case'!$D$406:$N$455,11)</f>
        <v>31.047125512885419</v>
      </c>
      <c r="W50" s="51">
        <f t="shared" si="28"/>
        <v>2.4971249904306383</v>
      </c>
      <c r="X50" s="51">
        <f t="shared" si="11"/>
        <v>137.96577609083121</v>
      </c>
      <c r="Y50" s="51">
        <f t="shared" si="12"/>
        <v>142.10474937355616</v>
      </c>
      <c r="Z50" s="56"/>
      <c r="AA50" s="51">
        <f t="shared" si="13"/>
        <v>142.10474937355616</v>
      </c>
      <c r="AB50" s="81">
        <f t="shared" si="5"/>
        <v>665572.28571428568</v>
      </c>
      <c r="AC50" s="79">
        <f t="shared" si="29"/>
        <v>94580.982851413472</v>
      </c>
      <c r="AD50"/>
      <c r="AE50" s="51">
        <f>VLOOKUP($A50,'ESAI - Q3 - Base Case'!$A$346:$N$400,10)*(1+$AE$8)</f>
        <v>83.81026807105809</v>
      </c>
      <c r="AF50" s="51">
        <f t="shared" si="14"/>
        <v>31.047125512885419</v>
      </c>
      <c r="AG50" s="51">
        <f t="shared" si="15"/>
        <v>2.4971249904306383</v>
      </c>
      <c r="AH50" s="51">
        <f t="shared" si="16"/>
        <v>112.36026859351287</v>
      </c>
      <c r="AI50" s="51">
        <f t="shared" si="17"/>
        <v>115.73107665131826</v>
      </c>
      <c r="AJ50" s="56">
        <f t="shared" si="18"/>
        <v>0</v>
      </c>
      <c r="AK50" s="51">
        <f t="shared" si="19"/>
        <v>115.73107665131826</v>
      </c>
      <c r="AL50" s="81">
        <f t="shared" si="20"/>
        <v>266228.91428571433</v>
      </c>
      <c r="AM50" s="79">
        <f t="shared" si="30"/>
        <v>30810.958885997243</v>
      </c>
      <c r="AN50"/>
      <c r="AO50" s="277">
        <f t="shared" si="21"/>
        <v>931801.2</v>
      </c>
      <c r="AP50" s="117">
        <f t="shared" si="22"/>
        <v>125391.94173741071</v>
      </c>
    </row>
    <row r="51" spans="1:66" ht="15" customHeight="1" x14ac:dyDescent="0.2">
      <c r="A51" s="166">
        <f t="shared" si="23"/>
        <v>2059</v>
      </c>
      <c r="B51" s="178">
        <f t="shared" si="24"/>
        <v>165</v>
      </c>
      <c r="C51" s="170">
        <f t="shared" si="7"/>
        <v>963600</v>
      </c>
      <c r="D51" s="167">
        <f t="shared" si="8"/>
        <v>688285.71428571432</v>
      </c>
      <c r="E51" s="168">
        <f t="shared" si="9"/>
        <v>275314.28571428574</v>
      </c>
      <c r="F51" s="169">
        <f t="shared" si="25"/>
        <v>3.3000000000000002E-2</v>
      </c>
      <c r="G51" s="166">
        <f t="shared" si="26"/>
        <v>2059</v>
      </c>
      <c r="H51" s="170">
        <f t="shared" si="0"/>
        <v>931801.2</v>
      </c>
      <c r="I51" s="167">
        <f t="shared" si="1"/>
        <v>665572.28571428568</v>
      </c>
      <c r="J51" s="168">
        <f t="shared" si="2"/>
        <v>266228.91428571433</v>
      </c>
      <c r="K51" s="110"/>
      <c r="L51" s="106">
        <f ca="1"/>
        <v>25.314440761084867</v>
      </c>
      <c r="N51" s="265">
        <f>Inputs!$C$21*(1+Inputs!$C$23)^('Firm Purchase Revenue Reqmnt'!A51-Inputs!$C$22)</f>
        <v>59.47885687603425</v>
      </c>
      <c r="O51" s="265">
        <f>Inputs!$C$24*(1+Inputs!$C$26)^('Firm Purchase Revenue Reqmnt'!A51-Inputs!$C$25)</f>
        <v>7.8865439489809308</v>
      </c>
      <c r="P51" s="131">
        <f t="shared" si="27"/>
        <v>500</v>
      </c>
      <c r="Q51" s="108">
        <f t="shared" si="10"/>
        <v>33.682700412507593</v>
      </c>
      <c r="R51" s="130"/>
      <c r="S51" s="108">
        <f t="shared" ca="1" si="3"/>
        <v>58.99714117359246</v>
      </c>
      <c r="T51"/>
      <c r="U51" s="51">
        <f>VLOOKUP($A51,'ESAI - Q3 - Base Case'!$A$346:$N$400,9)*(1+$U$8)</f>
        <v>109.41577556837643</v>
      </c>
      <c r="V51" s="51">
        <f>VLOOKUP($A51,'ESAI - Q3 - Base Case'!$D$406:$N$455,11)</f>
        <v>31.047125512885419</v>
      </c>
      <c r="W51" s="51">
        <f t="shared" si="28"/>
        <v>2.5220962403349447</v>
      </c>
      <c r="X51" s="51">
        <f t="shared" si="11"/>
        <v>137.94080484092692</v>
      </c>
      <c r="Y51" s="51">
        <f t="shared" si="12"/>
        <v>142.07902898615473</v>
      </c>
      <c r="Z51" s="56"/>
      <c r="AA51" s="51">
        <f t="shared" si="13"/>
        <v>142.07902898615473</v>
      </c>
      <c r="AB51" s="81">
        <f t="shared" si="5"/>
        <v>665572.28571428568</v>
      </c>
      <c r="AC51" s="79">
        <f t="shared" si="29"/>
        <v>94563.864074381243</v>
      </c>
      <c r="AD51"/>
      <c r="AE51" s="51">
        <f>VLOOKUP($A51,'ESAI - Q3 - Base Case'!$A$346:$N$400,10)*(1+$AE$8)</f>
        <v>83.81026807105809</v>
      </c>
      <c r="AF51" s="51">
        <f t="shared" si="14"/>
        <v>31.047125512885419</v>
      </c>
      <c r="AG51" s="51">
        <f t="shared" si="15"/>
        <v>2.5220962403349447</v>
      </c>
      <c r="AH51" s="51">
        <f t="shared" si="16"/>
        <v>112.33529734360856</v>
      </c>
      <c r="AI51" s="51">
        <f t="shared" si="17"/>
        <v>115.70535626391681</v>
      </c>
      <c r="AJ51" s="56">
        <f t="shared" si="18"/>
        <v>0</v>
      </c>
      <c r="AK51" s="51">
        <f t="shared" si="19"/>
        <v>115.70535626391681</v>
      </c>
      <c r="AL51" s="81">
        <f t="shared" si="20"/>
        <v>266228.91428571433</v>
      </c>
      <c r="AM51" s="79">
        <f t="shared" si="30"/>
        <v>30804.111375184351</v>
      </c>
      <c r="AN51"/>
      <c r="AO51" s="277">
        <f t="shared" si="21"/>
        <v>931801.2</v>
      </c>
      <c r="AP51" s="117">
        <f t="shared" si="22"/>
        <v>125367.97544956559</v>
      </c>
    </row>
    <row r="52" spans="1:66" ht="15" customHeight="1" x14ac:dyDescent="0.2">
      <c r="A52" s="166">
        <f t="shared" si="23"/>
        <v>2060</v>
      </c>
      <c r="B52" s="178">
        <f t="shared" si="24"/>
        <v>165</v>
      </c>
      <c r="C52" s="170">
        <f t="shared" si="7"/>
        <v>963600</v>
      </c>
      <c r="D52" s="167">
        <f t="shared" si="8"/>
        <v>688285.71428571432</v>
      </c>
      <c r="E52" s="168">
        <f t="shared" si="9"/>
        <v>275314.28571428574</v>
      </c>
      <c r="F52" s="169">
        <f t="shared" si="25"/>
        <v>3.3000000000000002E-2</v>
      </c>
      <c r="G52" s="166">
        <f t="shared" si="26"/>
        <v>2060</v>
      </c>
      <c r="H52" s="170">
        <f t="shared" si="0"/>
        <v>931801.2</v>
      </c>
      <c r="I52" s="167">
        <f t="shared" si="1"/>
        <v>665572.28571428568</v>
      </c>
      <c r="J52" s="168">
        <f t="shared" si="2"/>
        <v>266228.91428571433</v>
      </c>
      <c r="K52" s="110"/>
      <c r="L52" s="106">
        <f ca="1"/>
        <v>24.053436200893728</v>
      </c>
      <c r="N52" s="265">
        <f>Inputs!$C$21*(1+Inputs!$C$23)^('Firm Purchase Revenue Reqmnt'!A52-Inputs!$C$22)</f>
        <v>60.078403753344681</v>
      </c>
      <c r="O52" s="265">
        <f>Inputs!$C$24*(1+Inputs!$C$26)^('Firm Purchase Revenue Reqmnt'!A52-Inputs!$C$25)</f>
        <v>7.9646207340758437</v>
      </c>
      <c r="P52" s="131">
        <f t="shared" si="27"/>
        <v>500</v>
      </c>
      <c r="Q52" s="108">
        <f t="shared" si="10"/>
        <v>34.021512243710262</v>
      </c>
      <c r="R52" s="130"/>
      <c r="S52" s="108">
        <f t="shared" ca="1" si="3"/>
        <v>58.07494844460399</v>
      </c>
      <c r="T52"/>
      <c r="U52" s="51">
        <f>VLOOKUP($A52,'ESAI - Q3 - Base Case'!$A$346:$N$400,9)*(1+$U$8)</f>
        <v>109.41577556837643</v>
      </c>
      <c r="V52" s="51">
        <f>VLOOKUP($A52,'ESAI - Q3 - Base Case'!$D$406:$N$455,11)</f>
        <v>31.047125512885419</v>
      </c>
      <c r="W52" s="51">
        <f t="shared" si="28"/>
        <v>2.5473172027382942</v>
      </c>
      <c r="X52" s="51">
        <f t="shared" si="11"/>
        <v>137.91558387852356</v>
      </c>
      <c r="Y52" s="51">
        <f t="shared" si="12"/>
        <v>142.05305139487928</v>
      </c>
      <c r="Z52" s="56"/>
      <c r="AA52" s="51">
        <f t="shared" si="13"/>
        <v>142.05305139487928</v>
      </c>
      <c r="AB52" s="81">
        <f t="shared" si="5"/>
        <v>665572.28571428568</v>
      </c>
      <c r="AC52" s="79">
        <f t="shared" si="29"/>
        <v>94546.574109578694</v>
      </c>
      <c r="AD52"/>
      <c r="AE52" s="51">
        <f>VLOOKUP($A52,'ESAI - Q3 - Base Case'!$A$346:$N$400,10)*(1+$AE$8)</f>
        <v>83.81026807105809</v>
      </c>
      <c r="AF52" s="51">
        <f t="shared" si="14"/>
        <v>31.047125512885419</v>
      </c>
      <c r="AG52" s="51">
        <f t="shared" si="15"/>
        <v>2.5473172027382942</v>
      </c>
      <c r="AH52" s="51">
        <f t="shared" si="16"/>
        <v>112.31007638120521</v>
      </c>
      <c r="AI52" s="51">
        <f t="shared" si="17"/>
        <v>115.67937867264136</v>
      </c>
      <c r="AJ52" s="56">
        <f t="shared" si="18"/>
        <v>0</v>
      </c>
      <c r="AK52" s="51">
        <f t="shared" si="19"/>
        <v>115.67937867264136</v>
      </c>
      <c r="AL52" s="81">
        <f t="shared" si="20"/>
        <v>266228.91428571433</v>
      </c>
      <c r="AM52" s="79">
        <f t="shared" si="30"/>
        <v>30797.195389263328</v>
      </c>
      <c r="AN52"/>
      <c r="AO52" s="277">
        <f t="shared" si="21"/>
        <v>931801.2</v>
      </c>
      <c r="AP52" s="117">
        <f t="shared" si="22"/>
        <v>125343.76949884203</v>
      </c>
    </row>
    <row r="53" spans="1:66" ht="15" customHeight="1" x14ac:dyDescent="0.2">
      <c r="A53" s="171">
        <f t="shared" si="23"/>
        <v>2061</v>
      </c>
      <c r="B53" s="179">
        <f t="shared" si="24"/>
        <v>165</v>
      </c>
      <c r="C53" s="175">
        <f t="shared" si="7"/>
        <v>963600</v>
      </c>
      <c r="D53" s="172">
        <f t="shared" si="8"/>
        <v>688285.71428571432</v>
      </c>
      <c r="E53" s="173">
        <f t="shared" si="9"/>
        <v>275314.28571428574</v>
      </c>
      <c r="F53" s="174">
        <f t="shared" si="25"/>
        <v>3.3000000000000002E-2</v>
      </c>
      <c r="G53" s="171">
        <f t="shared" si="26"/>
        <v>2061</v>
      </c>
      <c r="H53" s="175">
        <f t="shared" si="0"/>
        <v>931801.2</v>
      </c>
      <c r="I53" s="172">
        <f t="shared" si="1"/>
        <v>665572.28571428568</v>
      </c>
      <c r="J53" s="173">
        <f t="shared" si="2"/>
        <v>266228.91428571433</v>
      </c>
      <c r="K53" s="110"/>
      <c r="L53" s="107">
        <f ca="1"/>
        <v>22.952809116257008</v>
      </c>
      <c r="N53" s="266">
        <f>Inputs!$C$21*(1+Inputs!$C$23)^('Firm Purchase Revenue Reqmnt'!A53-Inputs!$C$22)</f>
        <v>60.683994063178396</v>
      </c>
      <c r="O53" s="266">
        <f>Inputs!$C$24*(1+Inputs!$C$26)^('Firm Purchase Revenue Reqmnt'!A53-Inputs!$C$25)</f>
        <v>8.0434704793431937</v>
      </c>
      <c r="P53" s="132">
        <f t="shared" si="27"/>
        <v>500</v>
      </c>
      <c r="Q53" s="109">
        <f t="shared" si="10"/>
        <v>34.363732271260794</v>
      </c>
      <c r="R53" s="130"/>
      <c r="S53" s="109">
        <f t="shared" ca="1" si="3"/>
        <v>57.316541387517802</v>
      </c>
      <c r="T53"/>
      <c r="U53" s="140">
        <f>VLOOKUP($A53,'ESAI - Q3 - Base Case'!$A$346:$N$400,9)*(1+$U$8)</f>
        <v>109.41577556837643</v>
      </c>
      <c r="V53" s="140">
        <f>VLOOKUP($A53,'ESAI - Q3 - Base Case'!$D$406:$N$455,11)</f>
        <v>31.047125512885419</v>
      </c>
      <c r="W53" s="140">
        <f t="shared" si="28"/>
        <v>2.5727903747656771</v>
      </c>
      <c r="X53" s="140">
        <f t="shared" si="11"/>
        <v>137.89011070649619</v>
      </c>
      <c r="Y53" s="140">
        <f t="shared" si="12"/>
        <v>142.02681402769107</v>
      </c>
      <c r="Z53" s="141"/>
      <c r="AA53" s="140">
        <f t="shared" si="13"/>
        <v>142.02681402769107</v>
      </c>
      <c r="AB53" s="82">
        <f t="shared" si="5"/>
        <v>665572.28571428568</v>
      </c>
      <c r="AC53" s="80">
        <f t="shared" si="29"/>
        <v>94529.111245128122</v>
      </c>
      <c r="AD53"/>
      <c r="AE53" s="140">
        <f>VLOOKUP($A53,'ESAI - Q3 - Base Case'!$A$346:$N$400,10)*(1+$AE$8)</f>
        <v>83.81026807105809</v>
      </c>
      <c r="AF53" s="140">
        <f t="shared" si="14"/>
        <v>31.047125512885419</v>
      </c>
      <c r="AG53" s="140">
        <f t="shared" si="15"/>
        <v>2.5727903747656771</v>
      </c>
      <c r="AH53" s="140">
        <f t="shared" si="16"/>
        <v>112.28460320917783</v>
      </c>
      <c r="AI53" s="140">
        <f t="shared" si="17"/>
        <v>115.65314130545318</v>
      </c>
      <c r="AJ53" s="141">
        <f t="shared" si="18"/>
        <v>0</v>
      </c>
      <c r="AK53" s="140">
        <f t="shared" si="19"/>
        <v>115.65314130545318</v>
      </c>
      <c r="AL53" s="82">
        <f t="shared" si="20"/>
        <v>266228.91428571433</v>
      </c>
      <c r="AM53" s="80">
        <f t="shared" si="30"/>
        <v>30790.210243483099</v>
      </c>
      <c r="AN53"/>
      <c r="AO53" s="278">
        <f t="shared" si="21"/>
        <v>931801.2</v>
      </c>
      <c r="AP53" s="118">
        <f t="shared" si="22"/>
        <v>125319.32148861123</v>
      </c>
    </row>
    <row r="54" spans="1:66" ht="1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110"/>
      <c r="L54" s="54"/>
      <c r="R54" s="143"/>
      <c r="T54"/>
      <c r="U54" s="55"/>
      <c r="V54" s="55"/>
      <c r="W54" s="56"/>
      <c r="X54" s="56"/>
      <c r="Y54" s="57"/>
      <c r="Z54" s="56"/>
      <c r="AA54" s="56"/>
      <c r="AB54" s="56"/>
      <c r="AC54" s="56"/>
      <c r="AD54" s="56"/>
      <c r="AE54"/>
      <c r="AF54"/>
      <c r="AG54"/>
      <c r="AH54"/>
      <c r="AI54"/>
      <c r="AJ54"/>
      <c r="AK54"/>
      <c r="AL54"/>
    </row>
    <row r="55" spans="1:66" x14ac:dyDescent="0.2">
      <c r="A55"/>
      <c r="B55"/>
      <c r="C55"/>
      <c r="D55"/>
      <c r="E55"/>
      <c r="H55"/>
      <c r="I55"/>
      <c r="J55"/>
      <c r="K55"/>
      <c r="L55" s="289"/>
      <c r="T55"/>
      <c r="U55"/>
      <c r="V55"/>
      <c r="W55"/>
      <c r="X55"/>
      <c r="Y55"/>
      <c r="Z55"/>
      <c r="AA55"/>
      <c r="AB55"/>
      <c r="BN55" s="50" t="s">
        <v>43</v>
      </c>
    </row>
    <row r="56" spans="1:66" ht="24.75" customHeight="1" thickBot="1" x14ac:dyDescent="0.25">
      <c r="A56" s="70" t="s">
        <v>81</v>
      </c>
      <c r="B56" s="71"/>
      <c r="C56" s="66"/>
      <c r="H56"/>
      <c r="I56"/>
      <c r="J56"/>
      <c r="K56"/>
      <c r="L56"/>
      <c r="T56"/>
      <c r="U56"/>
      <c r="V56"/>
      <c r="W56"/>
      <c r="X56"/>
      <c r="Y56"/>
      <c r="Z56"/>
      <c r="AA56"/>
      <c r="AB56"/>
      <c r="BN56" s="50" t="s">
        <v>43</v>
      </c>
    </row>
    <row r="57" spans="1:66" x14ac:dyDescent="0.2">
      <c r="H57"/>
      <c r="I57"/>
      <c r="J57"/>
      <c r="K57"/>
      <c r="L57"/>
      <c r="T57"/>
      <c r="U57"/>
      <c r="V57"/>
      <c r="W57"/>
      <c r="X57"/>
      <c r="Y57"/>
      <c r="Z57"/>
      <c r="AA57"/>
      <c r="AB57"/>
      <c r="BN57" s="50" t="s">
        <v>43</v>
      </c>
    </row>
    <row r="58" spans="1:66" x14ac:dyDescent="0.2">
      <c r="A58" s="60" t="s">
        <v>45</v>
      </c>
      <c r="B58" s="66">
        <v>1.03</v>
      </c>
      <c r="C58" s="66"/>
      <c r="H58"/>
      <c r="I58"/>
      <c r="J58"/>
      <c r="K58"/>
      <c r="L58"/>
      <c r="T58"/>
      <c r="U58"/>
      <c r="V58"/>
      <c r="W58"/>
      <c r="X58"/>
      <c r="Y58"/>
      <c r="Z58"/>
      <c r="AA58"/>
      <c r="AB58"/>
    </row>
    <row r="59" spans="1:66" x14ac:dyDescent="0.2">
      <c r="H59"/>
      <c r="I59"/>
      <c r="J59"/>
      <c r="K59"/>
      <c r="L59"/>
      <c r="T59"/>
      <c r="U59"/>
      <c r="V59"/>
      <c r="W59"/>
      <c r="X59"/>
      <c r="Y59"/>
      <c r="Z59"/>
      <c r="AA59"/>
      <c r="AB59"/>
    </row>
    <row r="60" spans="1:66" ht="16.5" thickBot="1" x14ac:dyDescent="0.25">
      <c r="A60" s="70" t="s">
        <v>58</v>
      </c>
      <c r="B60" s="25"/>
      <c r="C60" s="71"/>
      <c r="D60" s="71"/>
      <c r="E60" s="72"/>
      <c r="F60" s="72"/>
      <c r="H60"/>
      <c r="I60"/>
      <c r="J60"/>
      <c r="K60"/>
      <c r="L60"/>
      <c r="T60"/>
      <c r="U60"/>
      <c r="V60"/>
      <c r="W60"/>
      <c r="X60"/>
      <c r="Y60"/>
      <c r="Z60"/>
      <c r="AA60"/>
      <c r="AB60"/>
    </row>
    <row r="61" spans="1:66" x14ac:dyDescent="0.2">
      <c r="A61" s="60"/>
      <c r="B61" s="60"/>
      <c r="E61" s="73" t="s">
        <v>59</v>
      </c>
      <c r="F61" s="73" t="s">
        <v>60</v>
      </c>
      <c r="H61"/>
      <c r="I61"/>
      <c r="J61"/>
      <c r="K61"/>
      <c r="L61"/>
      <c r="T61"/>
      <c r="U61"/>
      <c r="V61"/>
      <c r="W61"/>
      <c r="X61"/>
      <c r="Y61"/>
      <c r="Z61"/>
      <c r="AA61"/>
      <c r="AB61"/>
    </row>
    <row r="62" spans="1:66" x14ac:dyDescent="0.2">
      <c r="A62" s="69" t="s">
        <v>48</v>
      </c>
      <c r="B62" s="60"/>
      <c r="E62" s="61">
        <v>0.18</v>
      </c>
      <c r="F62" s="61"/>
      <c r="H62"/>
      <c r="I62"/>
      <c r="J62"/>
      <c r="K62"/>
      <c r="L62"/>
      <c r="T62"/>
      <c r="U62"/>
      <c r="V62"/>
      <c r="W62"/>
      <c r="X62"/>
      <c r="Y62"/>
      <c r="Z62"/>
      <c r="AA62"/>
      <c r="AB62"/>
    </row>
    <row r="63" spans="1:66" x14ac:dyDescent="0.2">
      <c r="A63" s="69" t="s">
        <v>49</v>
      </c>
      <c r="B63" s="60"/>
      <c r="E63" s="61">
        <v>0.25</v>
      </c>
      <c r="F63" s="61">
        <v>0.25</v>
      </c>
      <c r="H63"/>
      <c r="I63"/>
      <c r="J63"/>
      <c r="K63"/>
      <c r="L63"/>
      <c r="T63"/>
      <c r="U63"/>
      <c r="V63"/>
      <c r="W63"/>
      <c r="X63"/>
      <c r="Y63"/>
      <c r="Z63"/>
      <c r="AA63"/>
      <c r="AB63"/>
    </row>
    <row r="64" spans="1:66" x14ac:dyDescent="0.2">
      <c r="A64" s="69" t="s">
        <v>79</v>
      </c>
      <c r="B64" s="60"/>
      <c r="E64" s="61">
        <v>0.34</v>
      </c>
      <c r="F64" s="61"/>
      <c r="H64"/>
      <c r="I64"/>
      <c r="J64"/>
      <c r="K64"/>
      <c r="L64"/>
      <c r="T64"/>
      <c r="U64"/>
      <c r="V64"/>
      <c r="W64"/>
      <c r="X64"/>
      <c r="Y64"/>
      <c r="Z64"/>
      <c r="AA64"/>
      <c r="AB64"/>
    </row>
    <row r="65" spans="1:28" x14ac:dyDescent="0.2">
      <c r="A65" s="69" t="s">
        <v>50</v>
      </c>
      <c r="B65" s="60"/>
      <c r="E65" s="61">
        <v>0.19</v>
      </c>
      <c r="F65" s="61"/>
      <c r="H65"/>
      <c r="I65"/>
      <c r="J65"/>
      <c r="K65"/>
      <c r="L65"/>
      <c r="T65"/>
      <c r="U65"/>
      <c r="V65"/>
      <c r="W65"/>
      <c r="X65"/>
      <c r="Y65"/>
      <c r="Z65"/>
      <c r="AA65"/>
      <c r="AB65"/>
    </row>
    <row r="66" spans="1:28" x14ac:dyDescent="0.2">
      <c r="A66" s="69" t="s">
        <v>51</v>
      </c>
      <c r="B66" s="60"/>
      <c r="E66" s="61">
        <v>8.6</v>
      </c>
      <c r="F66" s="61"/>
      <c r="H66"/>
      <c r="I66"/>
      <c r="J66"/>
      <c r="K66"/>
      <c r="L66"/>
      <c r="T66"/>
      <c r="U66"/>
      <c r="V66"/>
      <c r="W66"/>
      <c r="X66"/>
      <c r="Y66"/>
      <c r="Z66"/>
      <c r="AA66"/>
      <c r="AB66"/>
    </row>
    <row r="67" spans="1:28" x14ac:dyDescent="0.2">
      <c r="A67" s="69" t="s">
        <v>52</v>
      </c>
      <c r="B67" s="60"/>
      <c r="E67" s="61">
        <v>0.04</v>
      </c>
      <c r="F67" s="61"/>
      <c r="H67"/>
      <c r="I67"/>
      <c r="J67"/>
      <c r="K67"/>
      <c r="L67"/>
      <c r="T67"/>
      <c r="U67"/>
      <c r="V67"/>
      <c r="W67"/>
      <c r="X67"/>
      <c r="Y67"/>
      <c r="Z67"/>
      <c r="AA67"/>
      <c r="AB67"/>
    </row>
    <row r="68" spans="1:28" x14ac:dyDescent="0.2">
      <c r="A68" s="69" t="s">
        <v>80</v>
      </c>
      <c r="B68" s="60"/>
      <c r="E68" s="61">
        <v>0.2</v>
      </c>
      <c r="F68" s="61"/>
      <c r="H68"/>
      <c r="I68"/>
      <c r="J68"/>
      <c r="K68"/>
      <c r="L68"/>
      <c r="T68"/>
      <c r="U68"/>
      <c r="V68"/>
      <c r="W68"/>
      <c r="X68"/>
      <c r="Y68"/>
      <c r="Z68"/>
      <c r="AA68"/>
      <c r="AB68"/>
    </row>
    <row r="69" spans="1:28" ht="15.75" customHeight="1" x14ac:dyDescent="0.2">
      <c r="A69" s="69" t="s">
        <v>53</v>
      </c>
      <c r="B69" s="60"/>
      <c r="E69" s="61">
        <v>-0.44</v>
      </c>
      <c r="F69" s="61"/>
      <c r="H69"/>
      <c r="I69"/>
      <c r="J69"/>
      <c r="K69"/>
      <c r="L69"/>
      <c r="T69"/>
      <c r="U69"/>
      <c r="V69"/>
      <c r="W69"/>
      <c r="X69"/>
      <c r="Y69"/>
      <c r="Z69"/>
      <c r="AA69"/>
      <c r="AB69"/>
    </row>
    <row r="70" spans="1:28" ht="11.25" customHeight="1" x14ac:dyDescent="0.2">
      <c r="A70" s="69" t="s">
        <v>54</v>
      </c>
      <c r="B70" s="60"/>
      <c r="E70" s="61">
        <v>0.02</v>
      </c>
      <c r="F70" s="61">
        <v>0.02</v>
      </c>
      <c r="H70"/>
      <c r="I70"/>
      <c r="J70"/>
      <c r="K70"/>
      <c r="L70"/>
      <c r="T70"/>
      <c r="U70"/>
      <c r="V70"/>
      <c r="W70"/>
      <c r="X70"/>
      <c r="Y70"/>
      <c r="Z70"/>
      <c r="AA70"/>
      <c r="AB70"/>
    </row>
    <row r="71" spans="1:28" x14ac:dyDescent="0.2">
      <c r="A71" s="69" t="s">
        <v>55</v>
      </c>
      <c r="B71" s="60"/>
      <c r="E71" s="61">
        <v>0.11</v>
      </c>
      <c r="F71" s="61"/>
      <c r="H71"/>
      <c r="I71"/>
      <c r="J71"/>
      <c r="K71"/>
      <c r="L71"/>
      <c r="T71"/>
      <c r="U71"/>
      <c r="V71"/>
      <c r="W71"/>
      <c r="X71"/>
      <c r="Y71"/>
      <c r="Z71"/>
      <c r="AA71"/>
      <c r="AB71"/>
    </row>
    <row r="72" spans="1:28" x14ac:dyDescent="0.2">
      <c r="A72" s="69" t="s">
        <v>56</v>
      </c>
      <c r="B72" s="60"/>
      <c r="E72" s="62">
        <v>1.31</v>
      </c>
      <c r="F72" s="62">
        <v>1.31</v>
      </c>
      <c r="H72"/>
      <c r="I72"/>
      <c r="J72"/>
      <c r="K72"/>
      <c r="L72"/>
      <c r="T72"/>
      <c r="U72"/>
      <c r="V72"/>
      <c r="W72"/>
      <c r="X72"/>
      <c r="Y72"/>
      <c r="Z72"/>
      <c r="AA72"/>
      <c r="AB72"/>
    </row>
    <row r="73" spans="1:28" x14ac:dyDescent="0.2">
      <c r="A73" s="69" t="s">
        <v>57</v>
      </c>
      <c r="B73" s="60"/>
      <c r="E73" s="63">
        <f>SUM(E62:E72)</f>
        <v>10.799999999999997</v>
      </c>
      <c r="F73" s="63">
        <f>SUM(F62:F72)</f>
        <v>1.58</v>
      </c>
      <c r="H73"/>
      <c r="I73"/>
      <c r="J73"/>
      <c r="K73"/>
      <c r="L73"/>
      <c r="T73"/>
      <c r="U73"/>
      <c r="V73"/>
      <c r="W73"/>
      <c r="X73"/>
      <c r="Y73"/>
      <c r="Z73"/>
      <c r="AA73"/>
      <c r="AB73"/>
    </row>
    <row r="74" spans="1:28" x14ac:dyDescent="0.2">
      <c r="A74" s="69" t="s">
        <v>46</v>
      </c>
      <c r="B74" s="60"/>
      <c r="E74" s="64">
        <v>2012</v>
      </c>
      <c r="F74" s="64">
        <v>2012</v>
      </c>
      <c r="H74"/>
      <c r="I74"/>
      <c r="J74"/>
      <c r="K74"/>
      <c r="L74"/>
      <c r="T74"/>
      <c r="U74"/>
      <c r="V74"/>
      <c r="W74"/>
      <c r="X74"/>
      <c r="Y74"/>
      <c r="Z74"/>
      <c r="AA74"/>
      <c r="AB74"/>
    </row>
    <row r="75" spans="1:28" x14ac:dyDescent="0.2">
      <c r="A75" s="69" t="s">
        <v>47</v>
      </c>
      <c r="B75" s="60"/>
      <c r="E75" s="65">
        <v>0.01</v>
      </c>
      <c r="F75" s="65">
        <v>0.01</v>
      </c>
      <c r="H75"/>
      <c r="I75"/>
      <c r="J75"/>
      <c r="K75"/>
      <c r="L75"/>
      <c r="T75"/>
      <c r="U75"/>
      <c r="V75"/>
      <c r="W75"/>
      <c r="X75"/>
      <c r="Y75"/>
      <c r="Z75"/>
      <c r="AA75"/>
      <c r="AB75"/>
    </row>
    <row r="76" spans="1:28" x14ac:dyDescent="0.2">
      <c r="A76" s="69" t="s">
        <v>74</v>
      </c>
      <c r="B76" s="60"/>
      <c r="E76" s="64">
        <v>2017</v>
      </c>
      <c r="H76"/>
      <c r="I76"/>
      <c r="J76"/>
      <c r="K76"/>
      <c r="L76"/>
      <c r="T76"/>
      <c r="U76"/>
      <c r="V76"/>
      <c r="W76"/>
      <c r="X76"/>
      <c r="Y76"/>
      <c r="Z76"/>
      <c r="AA76"/>
      <c r="AB76"/>
    </row>
    <row r="77" spans="1:28" x14ac:dyDescent="0.2">
      <c r="H77"/>
      <c r="I77"/>
      <c r="J77"/>
      <c r="K77"/>
      <c r="L77"/>
      <c r="T77"/>
      <c r="U77"/>
      <c r="V77"/>
      <c r="W77"/>
      <c r="X77"/>
      <c r="Y77"/>
      <c r="Z77"/>
      <c r="AA77"/>
      <c r="AB77"/>
    </row>
    <row r="78" spans="1:28" x14ac:dyDescent="0.2">
      <c r="H78"/>
      <c r="I78"/>
      <c r="J78"/>
      <c r="K78"/>
      <c r="L78"/>
      <c r="T78"/>
      <c r="U78"/>
      <c r="V78"/>
      <c r="W78"/>
      <c r="X78"/>
      <c r="Y78"/>
      <c r="Z78"/>
      <c r="AA78"/>
      <c r="AB78"/>
    </row>
    <row r="79" spans="1:28" x14ac:dyDescent="0.2">
      <c r="H79"/>
      <c r="I79"/>
      <c r="J79"/>
      <c r="K79"/>
      <c r="L79"/>
      <c r="T79"/>
      <c r="U79"/>
      <c r="V79"/>
      <c r="W79"/>
      <c r="X79"/>
      <c r="Y79"/>
      <c r="Z79"/>
      <c r="AA79"/>
      <c r="AB79"/>
    </row>
    <row r="80" spans="1:28" x14ac:dyDescent="0.2">
      <c r="H80"/>
      <c r="I80"/>
      <c r="J80"/>
      <c r="K80"/>
      <c r="L80"/>
      <c r="T80"/>
      <c r="U80"/>
      <c r="V80"/>
      <c r="W80"/>
      <c r="X80"/>
      <c r="Y80"/>
      <c r="Z80"/>
      <c r="AA80"/>
      <c r="AB80"/>
    </row>
    <row r="81" spans="4:28" x14ac:dyDescent="0.2">
      <c r="H81"/>
      <c r="I81"/>
      <c r="J81"/>
      <c r="K81"/>
      <c r="L81"/>
      <c r="T81"/>
      <c r="U81"/>
      <c r="V81"/>
      <c r="W81"/>
      <c r="X81"/>
      <c r="Y81"/>
      <c r="Z81"/>
      <c r="AA81"/>
      <c r="AB81"/>
    </row>
    <row r="82" spans="4:28" x14ac:dyDescent="0.2">
      <c r="H82"/>
      <c r="I82"/>
      <c r="J82"/>
      <c r="K82"/>
      <c r="L82"/>
      <c r="T82"/>
      <c r="U82"/>
      <c r="V82"/>
      <c r="W82"/>
      <c r="X82"/>
      <c r="Y82"/>
      <c r="Z82"/>
      <c r="AA82"/>
      <c r="AB82"/>
    </row>
    <row r="83" spans="4:28" x14ac:dyDescent="0.2">
      <c r="H83"/>
      <c r="I83"/>
      <c r="J83"/>
      <c r="K83"/>
      <c r="L83"/>
      <c r="T83"/>
      <c r="U83"/>
      <c r="V83"/>
      <c r="W83"/>
      <c r="X83"/>
      <c r="Y83"/>
      <c r="Z83"/>
      <c r="AA83"/>
      <c r="AB83"/>
    </row>
    <row r="84" spans="4:28" x14ac:dyDescent="0.2">
      <c r="H84"/>
      <c r="I84"/>
      <c r="J84"/>
      <c r="K84"/>
      <c r="L84"/>
      <c r="T84"/>
      <c r="U84"/>
      <c r="V84"/>
      <c r="W84"/>
      <c r="X84"/>
      <c r="Y84"/>
      <c r="Z84"/>
      <c r="AA84"/>
      <c r="AB84"/>
    </row>
    <row r="85" spans="4:28" x14ac:dyDescent="0.2">
      <c r="M85" s="50"/>
      <c r="N85" s="50"/>
      <c r="O85" s="50"/>
      <c r="P85" s="50"/>
      <c r="Q85" s="50"/>
      <c r="R85" s="50"/>
    </row>
    <row r="86" spans="4:28" ht="13.5" customHeight="1" x14ac:dyDescent="0.2">
      <c r="M86" s="50"/>
      <c r="N86" s="50"/>
      <c r="O86" s="50"/>
      <c r="P86" s="50"/>
      <c r="Q86" s="50"/>
      <c r="R86" s="50"/>
    </row>
    <row r="87" spans="4:28" ht="42.75" customHeight="1" x14ac:dyDescent="0.2">
      <c r="M87" s="50"/>
      <c r="N87" s="50"/>
      <c r="O87" s="50"/>
      <c r="P87" s="50"/>
      <c r="Q87" s="50"/>
      <c r="R87" s="50"/>
    </row>
    <row r="88" spans="4:28" x14ac:dyDescent="0.2">
      <c r="M88" s="50"/>
      <c r="N88" s="50"/>
      <c r="O88" s="50"/>
      <c r="P88" s="50"/>
      <c r="Q88" s="50"/>
      <c r="R88" s="50"/>
    </row>
    <row r="89" spans="4:28" x14ac:dyDescent="0.2">
      <c r="M89" s="50"/>
      <c r="N89" s="50"/>
      <c r="O89" s="50"/>
      <c r="P89" s="50"/>
      <c r="Q89" s="50"/>
      <c r="R89" s="50"/>
    </row>
    <row r="90" spans="4:28" x14ac:dyDescent="0.2">
      <c r="M90" s="50"/>
      <c r="N90" s="50"/>
      <c r="O90" s="50"/>
      <c r="P90" s="50"/>
      <c r="Q90" s="50"/>
      <c r="R90" s="50"/>
    </row>
    <row r="91" spans="4:28" ht="42.75" customHeight="1" x14ac:dyDescent="0.2">
      <c r="D91" s="59"/>
      <c r="M91" s="50"/>
      <c r="N91" s="50"/>
      <c r="O91" s="50"/>
      <c r="P91" s="50"/>
      <c r="Q91" s="50"/>
      <c r="R91" s="50"/>
    </row>
    <row r="92" spans="4:28" x14ac:dyDescent="0.2">
      <c r="M92" s="50"/>
      <c r="N92" s="50"/>
      <c r="O92" s="50"/>
      <c r="P92" s="50"/>
      <c r="Q92" s="50"/>
      <c r="R92" s="50"/>
    </row>
    <row r="93" spans="4:28" x14ac:dyDescent="0.2">
      <c r="M93" s="50"/>
      <c r="N93" s="50"/>
      <c r="O93" s="50"/>
      <c r="P93" s="50"/>
      <c r="Q93" s="50"/>
      <c r="R93" s="50"/>
    </row>
    <row r="94" spans="4:28" x14ac:dyDescent="0.2">
      <c r="M94" s="50"/>
      <c r="N94" s="50"/>
      <c r="O94" s="50"/>
      <c r="P94" s="50"/>
      <c r="Q94" s="50"/>
      <c r="R94" s="50"/>
    </row>
  </sheetData>
  <mergeCells count="1">
    <mergeCell ref="L4:S4"/>
  </mergeCells>
  <printOptions horizontalCentered="1" verticalCentered="1"/>
  <pageMargins left="0.7" right="0.7" top="0.75" bottom="0.75" header="0.3" footer="0.3"/>
  <pageSetup scale="47" orientation="landscape" r:id="rId1"/>
  <headerFooter>
    <oddFooter>&amp;L&amp;"Bradley Hand ITC,Regular"&amp;F
&amp;A&amp;R&amp;"Bradley Hand ITC,Regular"&amp;D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AC29"/>
  <sheetViews>
    <sheetView zoomScaleNormal="100" workbookViewId="0">
      <selection activeCell="G13" sqref="G13"/>
    </sheetView>
  </sheetViews>
  <sheetFormatPr defaultRowHeight="15" x14ac:dyDescent="0.25"/>
  <cols>
    <col min="1" max="1" width="9.140625" style="85"/>
    <col min="2" max="2" width="45.140625" style="85" customWidth="1"/>
    <col min="3" max="3" width="31" style="85" customWidth="1"/>
    <col min="4" max="16384" width="9.140625" style="85"/>
  </cols>
  <sheetData>
    <row r="2" spans="1:29" x14ac:dyDescent="0.25">
      <c r="B2" s="313" t="s">
        <v>268</v>
      </c>
      <c r="C2" s="313" t="s">
        <v>269</v>
      </c>
    </row>
    <row r="3" spans="1:29" x14ac:dyDescent="0.25">
      <c r="B3" s="313" t="s">
        <v>270</v>
      </c>
      <c r="C3" s="313" t="s">
        <v>271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314"/>
      <c r="AB3" s="314"/>
      <c r="AC3" s="314"/>
    </row>
    <row r="4" spans="1:29" x14ac:dyDescent="0.25">
      <c r="A4" s="315">
        <v>2015</v>
      </c>
      <c r="B4" s="316">
        <v>0</v>
      </c>
      <c r="C4" s="317">
        <v>0</v>
      </c>
    </row>
    <row r="5" spans="1:29" x14ac:dyDescent="0.25">
      <c r="A5" s="315">
        <v>2016</v>
      </c>
      <c r="B5" s="316">
        <v>0</v>
      </c>
      <c r="C5" s="317">
        <v>0</v>
      </c>
    </row>
    <row r="6" spans="1:29" x14ac:dyDescent="0.25">
      <c r="A6" s="315">
        <v>2017</v>
      </c>
      <c r="B6" s="316">
        <v>1241.2329999999999</v>
      </c>
      <c r="C6" s="317">
        <v>60390.3</v>
      </c>
      <c r="D6" s="318">
        <f>C6/B6</f>
        <v>48.653476019409737</v>
      </c>
    </row>
    <row r="7" spans="1:29" x14ac:dyDescent="0.25">
      <c r="A7" s="315">
        <v>2018</v>
      </c>
      <c r="B7" s="316">
        <v>2532.1590000000001</v>
      </c>
      <c r="C7" s="317">
        <v>122638.5</v>
      </c>
      <c r="D7" s="318">
        <f t="shared" ref="D7:D29" si="0">C7/B7</f>
        <v>48.432385170125571</v>
      </c>
    </row>
    <row r="8" spans="1:29" x14ac:dyDescent="0.25">
      <c r="A8" s="315">
        <v>2019</v>
      </c>
      <c r="B8" s="316">
        <v>2494.2829999999999</v>
      </c>
      <c r="C8" s="317">
        <v>124468.3</v>
      </c>
      <c r="D8" s="318">
        <f t="shared" si="0"/>
        <v>49.901434600644755</v>
      </c>
    </row>
    <row r="9" spans="1:29" x14ac:dyDescent="0.25">
      <c r="A9" s="315">
        <v>2020</v>
      </c>
      <c r="B9" s="316">
        <v>2489.7289999999998</v>
      </c>
      <c r="C9" s="317">
        <v>129997.7</v>
      </c>
      <c r="D9" s="318">
        <f t="shared" si="0"/>
        <v>52.213594330949277</v>
      </c>
    </row>
    <row r="10" spans="1:29" x14ac:dyDescent="0.25">
      <c r="A10" s="315">
        <v>2021</v>
      </c>
      <c r="B10" s="316">
        <v>2531.1689999999999</v>
      </c>
      <c r="C10" s="317">
        <v>137173.5</v>
      </c>
      <c r="D10" s="318">
        <f t="shared" si="0"/>
        <v>54.193734199494386</v>
      </c>
    </row>
    <row r="11" spans="1:29" x14ac:dyDescent="0.25">
      <c r="A11" s="315">
        <v>2022</v>
      </c>
      <c r="B11" s="316">
        <v>2505.1680000000001</v>
      </c>
      <c r="C11" s="317">
        <v>141867</v>
      </c>
      <c r="D11" s="318">
        <f t="shared" si="0"/>
        <v>56.629735011783637</v>
      </c>
    </row>
    <row r="12" spans="1:29" x14ac:dyDescent="0.25">
      <c r="A12" s="315">
        <v>2023</v>
      </c>
      <c r="B12" s="316">
        <v>2546.2759999999998</v>
      </c>
      <c r="C12" s="317">
        <v>147725.9</v>
      </c>
      <c r="D12" s="318">
        <f t="shared" si="0"/>
        <v>58.016452262048574</v>
      </c>
    </row>
    <row r="13" spans="1:29" x14ac:dyDescent="0.25">
      <c r="A13" s="315">
        <v>2024</v>
      </c>
      <c r="B13" s="316">
        <v>2541.011</v>
      </c>
      <c r="C13" s="317">
        <v>150241.1</v>
      </c>
      <c r="D13" s="318">
        <f t="shared" si="0"/>
        <v>59.126505158773419</v>
      </c>
    </row>
    <row r="14" spans="1:29" x14ac:dyDescent="0.25">
      <c r="A14" s="315">
        <v>2025</v>
      </c>
      <c r="B14" s="316">
        <v>2599.4720000000002</v>
      </c>
      <c r="C14" s="317">
        <v>158709.29999999999</v>
      </c>
      <c r="D14" s="318">
        <f t="shared" si="0"/>
        <v>61.054437208787007</v>
      </c>
    </row>
    <row r="15" spans="1:29" x14ac:dyDescent="0.25">
      <c r="A15" s="315">
        <v>2026</v>
      </c>
      <c r="B15" s="316">
        <v>2629.0880000000002</v>
      </c>
      <c r="C15" s="317">
        <v>164166.6</v>
      </c>
      <c r="D15" s="318">
        <f t="shared" si="0"/>
        <v>62.442413490913957</v>
      </c>
    </row>
    <row r="16" spans="1:29" x14ac:dyDescent="0.25">
      <c r="A16" s="315">
        <v>2027</v>
      </c>
      <c r="B16" s="316">
        <v>2635.7939999999999</v>
      </c>
      <c r="C16" s="317">
        <v>167365.5</v>
      </c>
      <c r="D16" s="318">
        <f t="shared" si="0"/>
        <v>63.497185288379896</v>
      </c>
    </row>
    <row r="17" spans="1:4" x14ac:dyDescent="0.25">
      <c r="A17" s="315">
        <v>2028</v>
      </c>
      <c r="B17" s="316">
        <v>2632.1</v>
      </c>
      <c r="C17" s="317">
        <v>170121.5</v>
      </c>
      <c r="D17" s="318">
        <f t="shared" si="0"/>
        <v>64.633372592226735</v>
      </c>
    </row>
    <row r="18" spans="1:4" x14ac:dyDescent="0.25">
      <c r="A18" s="315">
        <v>2029</v>
      </c>
      <c r="B18" s="316">
        <v>2684.47</v>
      </c>
      <c r="C18" s="317">
        <v>177955.6</v>
      </c>
      <c r="D18" s="318">
        <f t="shared" si="0"/>
        <v>66.290776205358981</v>
      </c>
    </row>
    <row r="19" spans="1:4" x14ac:dyDescent="0.25">
      <c r="A19" s="315">
        <v>2030</v>
      </c>
      <c r="B19" s="316">
        <v>2904.6570000000002</v>
      </c>
      <c r="C19" s="317">
        <v>202297.1</v>
      </c>
      <c r="D19" s="318">
        <f t="shared" si="0"/>
        <v>69.645779174615114</v>
      </c>
    </row>
    <row r="20" spans="1:4" x14ac:dyDescent="0.25">
      <c r="A20" s="315">
        <v>2031</v>
      </c>
      <c r="B20" s="316">
        <v>2927.502</v>
      </c>
      <c r="C20" s="317">
        <v>206667.4</v>
      </c>
      <c r="D20" s="318">
        <f t="shared" si="0"/>
        <v>70.595135374800762</v>
      </c>
    </row>
    <row r="21" spans="1:4" x14ac:dyDescent="0.25">
      <c r="A21" s="315">
        <v>2032</v>
      </c>
      <c r="B21" s="316">
        <v>2988.808</v>
      </c>
      <c r="C21" s="317">
        <v>216246.7</v>
      </c>
      <c r="D21" s="318">
        <f t="shared" si="0"/>
        <v>72.352155106651225</v>
      </c>
    </row>
    <row r="22" spans="1:4" x14ac:dyDescent="0.25">
      <c r="A22" s="315">
        <v>2033</v>
      </c>
      <c r="B22" s="316">
        <v>3067.1889999999999</v>
      </c>
      <c r="C22" s="317">
        <v>226108.7</v>
      </c>
      <c r="D22" s="318">
        <f t="shared" si="0"/>
        <v>73.718541635354072</v>
      </c>
    </row>
    <row r="23" spans="1:4" x14ac:dyDescent="0.25">
      <c r="A23" s="315">
        <v>2034</v>
      </c>
      <c r="B23" s="316">
        <v>3158.1689999999999</v>
      </c>
      <c r="C23" s="317">
        <v>241177.3</v>
      </c>
      <c r="D23" s="318">
        <f t="shared" si="0"/>
        <v>76.366179263997594</v>
      </c>
    </row>
    <row r="24" spans="1:4" x14ac:dyDescent="0.25">
      <c r="A24" s="315">
        <v>2035</v>
      </c>
      <c r="B24" s="316">
        <v>3254.587</v>
      </c>
      <c r="C24" s="317">
        <v>256353.7</v>
      </c>
      <c r="D24" s="318">
        <f t="shared" si="0"/>
        <v>78.76689116007654</v>
      </c>
    </row>
    <row r="25" spans="1:4" x14ac:dyDescent="0.25">
      <c r="A25" s="315">
        <v>2036</v>
      </c>
      <c r="B25" s="316">
        <v>3276.279</v>
      </c>
      <c r="C25" s="317">
        <v>264102.2</v>
      </c>
      <c r="D25" s="318">
        <f t="shared" si="0"/>
        <v>80.610411994827061</v>
      </c>
    </row>
    <row r="26" spans="1:4" x14ac:dyDescent="0.25">
      <c r="A26" s="315">
        <v>2037</v>
      </c>
      <c r="B26" s="316">
        <v>3275.6370000000002</v>
      </c>
      <c r="C26" s="317">
        <v>268689.3</v>
      </c>
      <c r="D26" s="318">
        <f t="shared" si="0"/>
        <v>82.026579868282099</v>
      </c>
    </row>
    <row r="27" spans="1:4" x14ac:dyDescent="0.25">
      <c r="A27" s="315">
        <v>2038</v>
      </c>
      <c r="B27" s="316">
        <v>3291.3679999999999</v>
      </c>
      <c r="C27" s="317">
        <v>275845.09999999998</v>
      </c>
      <c r="D27" s="318">
        <f t="shared" si="0"/>
        <v>83.808647346635198</v>
      </c>
    </row>
    <row r="28" spans="1:4" x14ac:dyDescent="0.25">
      <c r="A28" s="315">
        <v>2039</v>
      </c>
      <c r="B28" s="316">
        <v>3309.8139999999999</v>
      </c>
      <c r="C28" s="317">
        <v>282751.09999999998</v>
      </c>
      <c r="D28" s="318">
        <f t="shared" si="0"/>
        <v>85.428093542416576</v>
      </c>
    </row>
    <row r="29" spans="1:4" x14ac:dyDescent="0.25">
      <c r="A29" s="315">
        <v>2040</v>
      </c>
      <c r="B29" s="316">
        <v>3378.9749999999999</v>
      </c>
      <c r="C29" s="317">
        <v>299821.5</v>
      </c>
      <c r="D29" s="318">
        <f t="shared" si="0"/>
        <v>88.731494018156397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U555"/>
  <sheetViews>
    <sheetView zoomScaleNormal="100" workbookViewId="0">
      <selection activeCell="F31" sqref="F31"/>
    </sheetView>
  </sheetViews>
  <sheetFormatPr defaultRowHeight="12.75" x14ac:dyDescent="0.2"/>
  <cols>
    <col min="1" max="1" width="20.42578125" style="183" customWidth="1"/>
    <col min="2" max="8" width="20.42578125" style="50" customWidth="1"/>
    <col min="9" max="9" width="7" style="50" customWidth="1"/>
    <col min="10" max="18" width="20.42578125" style="50" customWidth="1"/>
    <col min="19" max="20" width="12.5703125" style="50" bestFit="1" customWidth="1"/>
    <col min="21" max="29" width="10" style="50" bestFit="1" customWidth="1"/>
    <col min="30" max="16384" width="9.140625" style="50"/>
  </cols>
  <sheetData>
    <row r="1" spans="1:73" s="182" customFormat="1" ht="33" customHeight="1" x14ac:dyDescent="0.2">
      <c r="A1" s="181"/>
      <c r="B1" s="322" t="s">
        <v>173</v>
      </c>
      <c r="C1" s="323"/>
      <c r="D1" s="323"/>
      <c r="E1" s="323"/>
      <c r="F1" s="323"/>
      <c r="G1" s="323"/>
      <c r="H1" s="324"/>
      <c r="I1" s="181"/>
      <c r="J1" s="322" t="s">
        <v>175</v>
      </c>
      <c r="K1" s="323"/>
      <c r="L1" s="323"/>
      <c r="M1" s="323"/>
      <c r="N1" s="323"/>
      <c r="O1" s="323"/>
      <c r="P1" s="324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s="184" customFormat="1" x14ac:dyDescent="0.2">
      <c r="A2" s="183"/>
      <c r="B2" s="183"/>
      <c r="C2" s="183"/>
      <c r="D2" s="183"/>
      <c r="E2" s="234">
        <v>0.01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</row>
    <row r="3" spans="1:73" s="197" customFormat="1" ht="31.5" customHeight="1" x14ac:dyDescent="0.25">
      <c r="A3" s="194"/>
      <c r="B3" s="195" t="s">
        <v>167</v>
      </c>
      <c r="C3" s="195" t="s">
        <v>168</v>
      </c>
      <c r="D3" s="195" t="s">
        <v>170</v>
      </c>
      <c r="E3" s="195" t="s">
        <v>169</v>
      </c>
      <c r="F3" s="195" t="s">
        <v>171</v>
      </c>
      <c r="G3" s="195" t="s">
        <v>185</v>
      </c>
      <c r="H3" s="195" t="s">
        <v>190</v>
      </c>
      <c r="I3" s="196"/>
      <c r="J3" s="195" t="s">
        <v>176</v>
      </c>
      <c r="K3" s="195" t="s">
        <v>168</v>
      </c>
      <c r="L3" s="195" t="s">
        <v>170</v>
      </c>
      <c r="M3" s="195" t="s">
        <v>169</v>
      </c>
      <c r="N3" s="195" t="s">
        <v>171</v>
      </c>
      <c r="O3" s="195" t="s">
        <v>172</v>
      </c>
      <c r="P3" s="195" t="s">
        <v>177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</row>
    <row r="4" spans="1:73" s="184" customFormat="1" ht="48.75" customHeight="1" x14ac:dyDescent="0.2">
      <c r="A4" s="152"/>
      <c r="B4" s="185" t="s">
        <v>99</v>
      </c>
      <c r="C4" s="185" t="s">
        <v>99</v>
      </c>
      <c r="D4" s="185" t="s">
        <v>100</v>
      </c>
      <c r="E4" s="185" t="s">
        <v>100</v>
      </c>
      <c r="F4" s="185" t="s">
        <v>100</v>
      </c>
      <c r="G4" s="193" t="s">
        <v>174</v>
      </c>
      <c r="H4" s="185" t="s">
        <v>100</v>
      </c>
      <c r="I4" s="186"/>
      <c r="J4" s="185" t="s">
        <v>99</v>
      </c>
      <c r="K4" s="185" t="s">
        <v>99</v>
      </c>
      <c r="L4" s="185" t="s">
        <v>100</v>
      </c>
      <c r="M4" s="185" t="s">
        <v>100</v>
      </c>
      <c r="N4" s="185" t="s">
        <v>100</v>
      </c>
      <c r="O4" s="193" t="s">
        <v>174</v>
      </c>
      <c r="P4" s="185" t="s">
        <v>100</v>
      </c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3"/>
      <c r="BP4" s="183"/>
      <c r="BQ4" s="183"/>
      <c r="BR4" s="183"/>
      <c r="BS4" s="183"/>
      <c r="BT4" s="183"/>
      <c r="BU4" s="183"/>
    </row>
    <row r="5" spans="1:73" customFormat="1" x14ac:dyDescent="0.2">
      <c r="A5" s="188">
        <v>42736</v>
      </c>
      <c r="B5" s="119">
        <f>VLOOKUP(A5,'ESAI - Q3 - Base Case'!$A$5:$J$342,9)</f>
        <v>106.917812</v>
      </c>
      <c r="C5" s="284">
        <v>0</v>
      </c>
      <c r="D5" s="119">
        <f t="shared" ref="D5:D19" si="0">SUM(B5:C5)*ForEx</f>
        <v>110.12534635999999</v>
      </c>
      <c r="E5" s="283">
        <v>0</v>
      </c>
      <c r="F5" s="119">
        <f>D5-E5</f>
        <v>110.12534635999999</v>
      </c>
      <c r="G5" s="119">
        <v>0</v>
      </c>
      <c r="H5" s="119">
        <f>G5+F5</f>
        <v>110.12534635999999</v>
      </c>
      <c r="I5" s="50"/>
      <c r="J5" s="119">
        <f>VLOOKUP(A5,'ESAI - Q3 - Base Case'!$A$5:$J$342,10)</f>
        <v>70.732551000000001</v>
      </c>
      <c r="K5" s="120">
        <f>C5</f>
        <v>0</v>
      </c>
      <c r="L5" s="119">
        <f t="shared" ref="L5:L68" si="1">SUM(J5:K5)*ForEx</f>
        <v>72.854527529999999</v>
      </c>
      <c r="M5" s="119">
        <f>E5</f>
        <v>0</v>
      </c>
      <c r="N5" s="119">
        <f>L5-M5</f>
        <v>72.854527529999999</v>
      </c>
      <c r="O5" s="119">
        <v>0</v>
      </c>
      <c r="P5" s="119">
        <f>N5-O5</f>
        <v>72.854527529999999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</row>
    <row r="6" spans="1:73" customFormat="1" x14ac:dyDescent="0.2">
      <c r="A6" s="188">
        <v>42767</v>
      </c>
      <c r="B6" s="119">
        <f>VLOOKUP(A6,'ESAI - Q3 - Base Case'!$A$5:$J$342,9)</f>
        <v>77.221249999999998</v>
      </c>
      <c r="C6" s="119">
        <f>C5</f>
        <v>0</v>
      </c>
      <c r="D6" s="119">
        <f t="shared" si="0"/>
        <v>79.537887499999997</v>
      </c>
      <c r="E6" s="119">
        <f>E5</f>
        <v>0</v>
      </c>
      <c r="F6" s="119">
        <f t="shared" ref="F6:F18" si="2">D6-E6</f>
        <v>79.537887499999997</v>
      </c>
      <c r="G6" s="119">
        <v>0</v>
      </c>
      <c r="H6" s="119">
        <f t="shared" ref="H6:H69" si="3">G6+F6</f>
        <v>79.537887499999997</v>
      </c>
      <c r="I6" s="50"/>
      <c r="J6" s="119">
        <f>VLOOKUP(A6,'ESAI - Q3 - Base Case'!$A$5:$J$342,10)</f>
        <v>63.866987999999999</v>
      </c>
      <c r="K6" s="119">
        <f t="shared" ref="K6:K69" si="4">C6</f>
        <v>0</v>
      </c>
      <c r="L6" s="119">
        <f t="shared" si="1"/>
        <v>65.782997640000005</v>
      </c>
      <c r="M6" s="119">
        <f t="shared" ref="M6:M69" si="5">E6</f>
        <v>0</v>
      </c>
      <c r="N6" s="119">
        <f t="shared" ref="N6:N69" si="6">L6-M6</f>
        <v>65.782997640000005</v>
      </c>
      <c r="O6" s="119">
        <v>0</v>
      </c>
      <c r="P6" s="119">
        <f t="shared" ref="P6:P69" si="7">N6-O6</f>
        <v>65.782997640000005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</row>
    <row r="7" spans="1:73" customFormat="1" x14ac:dyDescent="0.2">
      <c r="A7" s="188">
        <v>42795</v>
      </c>
      <c r="B7" s="119">
        <f>VLOOKUP(A7,'ESAI - Q3 - Base Case'!$A$5:$J$342,9)</f>
        <v>51.091113999999997</v>
      </c>
      <c r="C7" s="119">
        <f t="shared" ref="C7:E16" si="8">C6</f>
        <v>0</v>
      </c>
      <c r="D7" s="119">
        <f t="shared" si="0"/>
        <v>52.623847419999997</v>
      </c>
      <c r="E7" s="119">
        <f t="shared" si="8"/>
        <v>0</v>
      </c>
      <c r="F7" s="119">
        <f t="shared" si="2"/>
        <v>52.623847419999997</v>
      </c>
      <c r="G7" s="119">
        <v>0</v>
      </c>
      <c r="H7" s="119">
        <f t="shared" si="3"/>
        <v>52.623847419999997</v>
      </c>
      <c r="I7" s="50"/>
      <c r="J7" s="119">
        <f>VLOOKUP(A7,'ESAI - Q3 - Base Case'!$A$5:$J$342,10)</f>
        <v>42.340291999999998</v>
      </c>
      <c r="K7" s="119">
        <f t="shared" si="4"/>
        <v>0</v>
      </c>
      <c r="L7" s="119">
        <f t="shared" si="1"/>
        <v>43.610500760000001</v>
      </c>
      <c r="M7" s="119">
        <f t="shared" si="5"/>
        <v>0</v>
      </c>
      <c r="N7" s="119">
        <f t="shared" si="6"/>
        <v>43.610500760000001</v>
      </c>
      <c r="O7" s="119">
        <v>0</v>
      </c>
      <c r="P7" s="119">
        <f t="shared" si="7"/>
        <v>43.610500760000001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x14ac:dyDescent="0.2">
      <c r="A8" s="188">
        <v>42826</v>
      </c>
      <c r="B8" s="119">
        <f>VLOOKUP(A8,'ESAI - Q3 - Base Case'!$A$5:$J$342,9)</f>
        <v>46.184437000000003</v>
      </c>
      <c r="C8" s="119">
        <f t="shared" si="8"/>
        <v>0</v>
      </c>
      <c r="D8" s="119">
        <f t="shared" si="0"/>
        <v>47.569970110000007</v>
      </c>
      <c r="E8" s="119">
        <f t="shared" si="8"/>
        <v>0</v>
      </c>
      <c r="F8" s="119">
        <f t="shared" si="2"/>
        <v>47.569970110000007</v>
      </c>
      <c r="G8" s="119">
        <v>0</v>
      </c>
      <c r="H8" s="119">
        <f t="shared" si="3"/>
        <v>47.569970110000007</v>
      </c>
      <c r="J8" s="119">
        <f>VLOOKUP(A8,'ESAI - Q3 - Base Case'!$A$5:$J$342,10)</f>
        <v>37.492750000000001</v>
      </c>
      <c r="K8" s="119">
        <f t="shared" si="4"/>
        <v>0</v>
      </c>
      <c r="L8" s="119">
        <f t="shared" si="1"/>
        <v>38.617532500000003</v>
      </c>
      <c r="M8" s="119">
        <f t="shared" si="5"/>
        <v>0</v>
      </c>
      <c r="N8" s="119">
        <f t="shared" si="6"/>
        <v>38.617532500000003</v>
      </c>
      <c r="O8" s="119">
        <v>0</v>
      </c>
      <c r="P8" s="119">
        <f t="shared" si="7"/>
        <v>38.617532500000003</v>
      </c>
    </row>
    <row r="9" spans="1:73" x14ac:dyDescent="0.2">
      <c r="A9" s="188">
        <v>42856</v>
      </c>
      <c r="B9" s="119">
        <f>VLOOKUP(A9,'ESAI - Q3 - Base Case'!$A$5:$J$342,9)</f>
        <v>45.478695000000002</v>
      </c>
      <c r="C9" s="119">
        <f t="shared" si="8"/>
        <v>0</v>
      </c>
      <c r="D9" s="119">
        <f t="shared" si="0"/>
        <v>46.843055850000006</v>
      </c>
      <c r="E9" s="119">
        <f t="shared" si="8"/>
        <v>0</v>
      </c>
      <c r="F9" s="119">
        <f t="shared" si="2"/>
        <v>46.843055850000006</v>
      </c>
      <c r="G9" s="119">
        <v>0</v>
      </c>
      <c r="H9" s="119">
        <f t="shared" si="3"/>
        <v>46.843055850000006</v>
      </c>
      <c r="J9" s="119">
        <f>VLOOKUP(A9,'ESAI - Q3 - Base Case'!$A$5:$J$342,10)</f>
        <v>37.741622</v>
      </c>
      <c r="K9" s="119">
        <f t="shared" si="4"/>
        <v>0</v>
      </c>
      <c r="L9" s="119">
        <f t="shared" si="1"/>
        <v>38.873870660000001</v>
      </c>
      <c r="M9" s="119">
        <f t="shared" si="5"/>
        <v>0</v>
      </c>
      <c r="N9" s="119">
        <f t="shared" si="6"/>
        <v>38.873870660000001</v>
      </c>
      <c r="O9" s="119">
        <v>0</v>
      </c>
      <c r="P9" s="119">
        <f t="shared" si="7"/>
        <v>38.873870660000001</v>
      </c>
    </row>
    <row r="10" spans="1:73" x14ac:dyDescent="0.2">
      <c r="A10" s="188">
        <v>42887</v>
      </c>
      <c r="B10" s="119">
        <f>VLOOKUP(A10,'ESAI - Q3 - Base Case'!$A$5:$J$342,9)</f>
        <v>54.364885999999998</v>
      </c>
      <c r="C10" s="119">
        <f t="shared" si="8"/>
        <v>0</v>
      </c>
      <c r="D10" s="119">
        <f t="shared" si="0"/>
        <v>55.995832579999998</v>
      </c>
      <c r="E10" s="119">
        <f t="shared" si="8"/>
        <v>0</v>
      </c>
      <c r="F10" s="119">
        <f t="shared" si="2"/>
        <v>55.995832579999998</v>
      </c>
      <c r="G10" s="119">
        <v>0</v>
      </c>
      <c r="H10" s="119">
        <f t="shared" si="3"/>
        <v>55.995832579999998</v>
      </c>
      <c r="J10" s="119">
        <f>VLOOKUP(A10,'ESAI - Q3 - Base Case'!$A$5:$J$342,10)</f>
        <v>37.643613999999999</v>
      </c>
      <c r="K10" s="119">
        <f t="shared" si="4"/>
        <v>0</v>
      </c>
      <c r="L10" s="119">
        <f t="shared" si="1"/>
        <v>38.77292242</v>
      </c>
      <c r="M10" s="119">
        <f t="shared" si="5"/>
        <v>0</v>
      </c>
      <c r="N10" s="119">
        <f t="shared" si="6"/>
        <v>38.77292242</v>
      </c>
      <c r="O10" s="119">
        <v>0</v>
      </c>
      <c r="P10" s="119">
        <f t="shared" si="7"/>
        <v>38.77292242</v>
      </c>
    </row>
    <row r="11" spans="1:73" x14ac:dyDescent="0.2">
      <c r="A11" s="188">
        <v>42917</v>
      </c>
      <c r="B11" s="119">
        <f>VLOOKUP(A11,'ESAI - Q3 - Base Case'!$A$5:$J$342,9)</f>
        <v>69.848868999999993</v>
      </c>
      <c r="C11" s="119">
        <f t="shared" si="8"/>
        <v>0</v>
      </c>
      <c r="D11" s="119">
        <f t="shared" si="0"/>
        <v>71.944335069999994</v>
      </c>
      <c r="E11" s="119">
        <f t="shared" si="8"/>
        <v>0</v>
      </c>
      <c r="F11" s="119">
        <f t="shared" si="2"/>
        <v>71.944335069999994</v>
      </c>
      <c r="G11" s="119">
        <v>0</v>
      </c>
      <c r="H11" s="119">
        <f t="shared" si="3"/>
        <v>71.944335069999994</v>
      </c>
      <c r="J11" s="119">
        <f>VLOOKUP(A11,'ESAI - Q3 - Base Case'!$A$5:$J$342,10)</f>
        <v>41.152400999999998</v>
      </c>
      <c r="K11" s="119">
        <f t="shared" si="4"/>
        <v>0</v>
      </c>
      <c r="L11" s="119">
        <f t="shared" si="1"/>
        <v>42.38697303</v>
      </c>
      <c r="M11" s="119">
        <f t="shared" si="5"/>
        <v>0</v>
      </c>
      <c r="N11" s="119">
        <f t="shared" si="6"/>
        <v>42.38697303</v>
      </c>
      <c r="O11" s="119">
        <v>0</v>
      </c>
      <c r="P11" s="119">
        <f t="shared" si="7"/>
        <v>42.38697303</v>
      </c>
    </row>
    <row r="12" spans="1:73" x14ac:dyDescent="0.2">
      <c r="A12" s="188">
        <v>42948</v>
      </c>
      <c r="B12" s="119">
        <f>VLOOKUP(A12,'ESAI - Q3 - Base Case'!$A$5:$J$342,9)</f>
        <v>59.460054</v>
      </c>
      <c r="C12" s="119">
        <f t="shared" si="8"/>
        <v>0</v>
      </c>
      <c r="D12" s="119">
        <f t="shared" si="0"/>
        <v>61.243855619999998</v>
      </c>
      <c r="E12" s="119">
        <f t="shared" si="8"/>
        <v>0</v>
      </c>
      <c r="F12" s="119">
        <f t="shared" si="2"/>
        <v>61.243855619999998</v>
      </c>
      <c r="G12" s="119">
        <v>0</v>
      </c>
      <c r="H12" s="119">
        <f t="shared" si="3"/>
        <v>61.243855619999998</v>
      </c>
      <c r="J12" s="119">
        <f>VLOOKUP(A12,'ESAI - Q3 - Base Case'!$A$5:$J$342,10)</f>
        <v>40.721860999999997</v>
      </c>
      <c r="K12" s="119">
        <f t="shared" si="4"/>
        <v>0</v>
      </c>
      <c r="L12" s="119">
        <f t="shared" si="1"/>
        <v>41.94351683</v>
      </c>
      <c r="M12" s="119">
        <f t="shared" si="5"/>
        <v>0</v>
      </c>
      <c r="N12" s="119">
        <f t="shared" si="6"/>
        <v>41.94351683</v>
      </c>
      <c r="O12" s="119">
        <v>0</v>
      </c>
      <c r="P12" s="119">
        <f t="shared" si="7"/>
        <v>41.94351683</v>
      </c>
    </row>
    <row r="13" spans="1:73" x14ac:dyDescent="0.2">
      <c r="A13" s="188">
        <v>42979</v>
      </c>
      <c r="B13" s="119">
        <f>VLOOKUP(A13,'ESAI - Q3 - Base Case'!$A$5:$J$342,9)</f>
        <v>46.233809000000001</v>
      </c>
      <c r="C13" s="119">
        <f t="shared" si="8"/>
        <v>0</v>
      </c>
      <c r="D13" s="119">
        <f t="shared" si="0"/>
        <v>47.620823270000002</v>
      </c>
      <c r="E13" s="119">
        <f t="shared" si="8"/>
        <v>0</v>
      </c>
      <c r="F13" s="119">
        <f t="shared" si="2"/>
        <v>47.620823270000002</v>
      </c>
      <c r="G13" s="119">
        <v>0</v>
      </c>
      <c r="H13" s="119">
        <f t="shared" si="3"/>
        <v>47.620823270000002</v>
      </c>
      <c r="J13" s="119">
        <f>VLOOKUP(A13,'ESAI - Q3 - Base Case'!$A$5:$J$342,10)</f>
        <v>39.716847999999999</v>
      </c>
      <c r="K13" s="119">
        <f t="shared" si="4"/>
        <v>0</v>
      </c>
      <c r="L13" s="119">
        <f t="shared" si="1"/>
        <v>40.908353439999999</v>
      </c>
      <c r="M13" s="119">
        <f t="shared" si="5"/>
        <v>0</v>
      </c>
      <c r="N13" s="119">
        <f t="shared" si="6"/>
        <v>40.908353439999999</v>
      </c>
      <c r="O13" s="119">
        <v>0</v>
      </c>
      <c r="P13" s="119">
        <f t="shared" si="7"/>
        <v>40.908353439999999</v>
      </c>
    </row>
    <row r="14" spans="1:73" x14ac:dyDescent="0.2">
      <c r="A14" s="188">
        <v>43009</v>
      </c>
      <c r="B14" s="119">
        <f>VLOOKUP(A14,'ESAI - Q3 - Base Case'!$A$5:$J$342,9)</f>
        <v>43.835852000000003</v>
      </c>
      <c r="C14" s="119">
        <f t="shared" si="8"/>
        <v>0</v>
      </c>
      <c r="D14" s="119">
        <f t="shared" si="0"/>
        <v>45.150927560000007</v>
      </c>
      <c r="E14" s="119">
        <f t="shared" si="8"/>
        <v>0</v>
      </c>
      <c r="F14" s="119">
        <f t="shared" si="2"/>
        <v>45.150927560000007</v>
      </c>
      <c r="G14" s="119">
        <v>0</v>
      </c>
      <c r="H14" s="119">
        <f t="shared" si="3"/>
        <v>45.150927560000007</v>
      </c>
      <c r="J14" s="119">
        <f>VLOOKUP(A14,'ESAI - Q3 - Base Case'!$A$5:$J$342,10)</f>
        <v>37.170662999999998</v>
      </c>
      <c r="K14" s="119">
        <f t="shared" si="4"/>
        <v>0</v>
      </c>
      <c r="L14" s="119">
        <f t="shared" si="1"/>
        <v>38.28578289</v>
      </c>
      <c r="M14" s="119">
        <f t="shared" si="5"/>
        <v>0</v>
      </c>
      <c r="N14" s="119">
        <f t="shared" si="6"/>
        <v>38.28578289</v>
      </c>
      <c r="O14" s="119">
        <v>0</v>
      </c>
      <c r="P14" s="119">
        <f t="shared" si="7"/>
        <v>38.28578289</v>
      </c>
    </row>
    <row r="15" spans="1:73" x14ac:dyDescent="0.2">
      <c r="A15" s="188">
        <v>43040</v>
      </c>
      <c r="B15" s="119">
        <f>VLOOKUP(A15,'ESAI - Q3 - Base Case'!$A$5:$J$342,9)</f>
        <v>47.768152999999998</v>
      </c>
      <c r="C15" s="119">
        <f t="shared" si="8"/>
        <v>0</v>
      </c>
      <c r="D15" s="119">
        <f t="shared" si="0"/>
        <v>49.20119759</v>
      </c>
      <c r="E15" s="119">
        <f t="shared" si="8"/>
        <v>0</v>
      </c>
      <c r="F15" s="119">
        <f t="shared" si="2"/>
        <v>49.20119759</v>
      </c>
      <c r="G15" s="119">
        <v>0</v>
      </c>
      <c r="H15" s="119">
        <f t="shared" si="3"/>
        <v>49.20119759</v>
      </c>
      <c r="J15" s="119">
        <f>VLOOKUP(A15,'ESAI - Q3 - Base Case'!$A$5:$J$342,10)</f>
        <v>41.306739</v>
      </c>
      <c r="K15" s="119">
        <f t="shared" si="4"/>
        <v>0</v>
      </c>
      <c r="L15" s="119">
        <f t="shared" si="1"/>
        <v>42.545941169999999</v>
      </c>
      <c r="M15" s="119">
        <f t="shared" si="5"/>
        <v>0</v>
      </c>
      <c r="N15" s="119">
        <f t="shared" si="6"/>
        <v>42.545941169999999</v>
      </c>
      <c r="O15" s="119">
        <v>0</v>
      </c>
      <c r="P15" s="119">
        <f t="shared" si="7"/>
        <v>42.545941169999999</v>
      </c>
    </row>
    <row r="16" spans="1:73" x14ac:dyDescent="0.2">
      <c r="A16" s="188">
        <v>43070</v>
      </c>
      <c r="B16" s="119">
        <f>VLOOKUP(A16,'ESAI - Q3 - Base Case'!$A$5:$J$342,9)</f>
        <v>74.181904000000003</v>
      </c>
      <c r="C16" s="119">
        <f t="shared" si="8"/>
        <v>0</v>
      </c>
      <c r="D16" s="119">
        <f t="shared" si="0"/>
        <v>76.407361120000004</v>
      </c>
      <c r="E16" s="119">
        <f t="shared" si="8"/>
        <v>0</v>
      </c>
      <c r="F16" s="119">
        <f t="shared" si="2"/>
        <v>76.407361120000004</v>
      </c>
      <c r="G16" s="119">
        <v>0</v>
      </c>
      <c r="H16" s="119">
        <f t="shared" si="3"/>
        <v>76.407361120000004</v>
      </c>
      <c r="J16" s="119">
        <f>VLOOKUP(A16,'ESAI - Q3 - Base Case'!$A$5:$J$342,10)</f>
        <v>55.583503999999998</v>
      </c>
      <c r="K16" s="119">
        <f t="shared" si="4"/>
        <v>0</v>
      </c>
      <c r="L16" s="119">
        <f t="shared" si="1"/>
        <v>57.251009119999999</v>
      </c>
      <c r="M16" s="119">
        <f t="shared" si="5"/>
        <v>0</v>
      </c>
      <c r="N16" s="119">
        <f t="shared" si="6"/>
        <v>57.251009119999999</v>
      </c>
      <c r="O16" s="119">
        <v>0</v>
      </c>
      <c r="P16" s="119">
        <f t="shared" si="7"/>
        <v>57.251009119999999</v>
      </c>
    </row>
    <row r="17" spans="1:16" x14ac:dyDescent="0.2">
      <c r="A17" s="188">
        <v>43101</v>
      </c>
      <c r="B17" s="119">
        <f>VLOOKUP(A17,'ESAI - Q3 - Base Case'!$A$5:$J$342,9)</f>
        <v>104.652717</v>
      </c>
      <c r="C17" s="119">
        <f>C5*(1+'Firm Purchase Revenue Reqmnt'!$I$71)</f>
        <v>0</v>
      </c>
      <c r="D17" s="119">
        <f t="shared" si="0"/>
        <v>107.79229850999999</v>
      </c>
      <c r="E17" s="120">
        <f>E5*(1+$E$2)</f>
        <v>0</v>
      </c>
      <c r="F17" s="119">
        <f t="shared" si="2"/>
        <v>107.79229850999999</v>
      </c>
      <c r="G17" s="120">
        <v>0</v>
      </c>
      <c r="H17" s="119">
        <f t="shared" si="3"/>
        <v>107.79229850999999</v>
      </c>
      <c r="J17" s="119">
        <f>VLOOKUP(A17,'ESAI - Q3 - Base Case'!$A$5:$J$342,10)</f>
        <v>71.427233999999999</v>
      </c>
      <c r="K17" s="119">
        <f t="shared" si="4"/>
        <v>0</v>
      </c>
      <c r="L17" s="119">
        <f t="shared" si="1"/>
        <v>73.570051019999994</v>
      </c>
      <c r="M17" s="120">
        <f t="shared" si="5"/>
        <v>0</v>
      </c>
      <c r="N17" s="119">
        <f t="shared" si="6"/>
        <v>73.570051019999994</v>
      </c>
      <c r="O17" s="120">
        <v>0</v>
      </c>
      <c r="P17" s="119">
        <f t="shared" si="7"/>
        <v>73.570051019999994</v>
      </c>
    </row>
    <row r="18" spans="1:16" x14ac:dyDescent="0.2">
      <c r="A18" s="188">
        <v>43132</v>
      </c>
      <c r="B18" s="119">
        <f>VLOOKUP(A18,'ESAI - Q3 - Base Case'!$A$5:$J$342,9)</f>
        <v>76.173062000000002</v>
      </c>
      <c r="C18" s="119">
        <f>C17</f>
        <v>0</v>
      </c>
      <c r="D18" s="119">
        <f t="shared" si="0"/>
        <v>78.458253859999999</v>
      </c>
      <c r="E18" s="119">
        <f>E17</f>
        <v>0</v>
      </c>
      <c r="F18" s="119">
        <f t="shared" si="2"/>
        <v>78.458253859999999</v>
      </c>
      <c r="G18" s="119">
        <v>0</v>
      </c>
      <c r="H18" s="119">
        <f t="shared" si="3"/>
        <v>78.458253859999999</v>
      </c>
      <c r="J18" s="119">
        <f>VLOOKUP(A18,'ESAI - Q3 - Base Case'!$A$5:$J$342,10)</f>
        <v>64.252555999999998</v>
      </c>
      <c r="K18" s="119">
        <f t="shared" si="4"/>
        <v>0</v>
      </c>
      <c r="L18" s="119">
        <f t="shared" si="1"/>
        <v>66.18013268</v>
      </c>
      <c r="M18" s="119">
        <f t="shared" si="5"/>
        <v>0</v>
      </c>
      <c r="N18" s="119">
        <f t="shared" si="6"/>
        <v>66.18013268</v>
      </c>
      <c r="O18" s="119">
        <v>0</v>
      </c>
      <c r="P18" s="119">
        <f t="shared" si="7"/>
        <v>66.18013268</v>
      </c>
    </row>
    <row r="19" spans="1:16" x14ac:dyDescent="0.2">
      <c r="A19" s="188">
        <v>43160</v>
      </c>
      <c r="B19" s="119">
        <f>VLOOKUP(A19,'ESAI - Q3 - Base Case'!$A$5:$J$342,9)</f>
        <v>51.446021999999999</v>
      </c>
      <c r="C19" s="119">
        <f t="shared" ref="C19:C28" si="9">C18</f>
        <v>0</v>
      </c>
      <c r="D19" s="119">
        <f t="shared" si="0"/>
        <v>52.989402660000003</v>
      </c>
      <c r="E19" s="119">
        <f t="shared" ref="E19:E28" si="10">E18</f>
        <v>0</v>
      </c>
      <c r="F19" s="119">
        <f t="shared" ref="F19:F82" si="11">D19-E19</f>
        <v>52.989402660000003</v>
      </c>
      <c r="G19" s="119">
        <v>0</v>
      </c>
      <c r="H19" s="119">
        <f t="shared" si="3"/>
        <v>52.989402660000003</v>
      </c>
      <c r="J19" s="119">
        <f>VLOOKUP(A19,'ESAI - Q3 - Base Case'!$A$5:$J$342,10)</f>
        <v>43.035969000000001</v>
      </c>
      <c r="K19" s="119">
        <f t="shared" si="4"/>
        <v>0</v>
      </c>
      <c r="L19" s="119">
        <f t="shared" si="1"/>
        <v>44.327048070000004</v>
      </c>
      <c r="M19" s="119">
        <f t="shared" si="5"/>
        <v>0</v>
      </c>
      <c r="N19" s="119">
        <f t="shared" si="6"/>
        <v>44.327048070000004</v>
      </c>
      <c r="O19" s="119">
        <v>0</v>
      </c>
      <c r="P19" s="119">
        <f t="shared" si="7"/>
        <v>44.327048070000004</v>
      </c>
    </row>
    <row r="20" spans="1:16" x14ac:dyDescent="0.2">
      <c r="A20" s="188">
        <v>43191</v>
      </c>
      <c r="B20" s="119">
        <f>VLOOKUP(A20,'ESAI - Q3 - Base Case'!$A$5:$J$342,9)</f>
        <v>46.964761000000003</v>
      </c>
      <c r="C20" s="119">
        <f t="shared" si="9"/>
        <v>0</v>
      </c>
      <c r="D20" s="119">
        <f t="shared" ref="D20:D83" si="12">SUM(B20:C20)*ForEx</f>
        <v>48.373703830000004</v>
      </c>
      <c r="E20" s="119">
        <f t="shared" si="10"/>
        <v>0</v>
      </c>
      <c r="F20" s="119">
        <f t="shared" si="11"/>
        <v>48.373703830000004</v>
      </c>
      <c r="G20" s="119">
        <v>0</v>
      </c>
      <c r="H20" s="119">
        <f t="shared" si="3"/>
        <v>48.373703830000004</v>
      </c>
      <c r="J20" s="119">
        <f>VLOOKUP(A20,'ESAI - Q3 - Base Case'!$A$5:$J$342,10)</f>
        <v>38.153202999999998</v>
      </c>
      <c r="K20" s="119">
        <f t="shared" si="4"/>
        <v>0</v>
      </c>
      <c r="L20" s="119">
        <f t="shared" si="1"/>
        <v>39.297799089999998</v>
      </c>
      <c r="M20" s="119">
        <f t="shared" si="5"/>
        <v>0</v>
      </c>
      <c r="N20" s="119">
        <f t="shared" si="6"/>
        <v>39.297799089999998</v>
      </c>
      <c r="O20" s="119">
        <v>0</v>
      </c>
      <c r="P20" s="119">
        <f t="shared" si="7"/>
        <v>39.297799089999998</v>
      </c>
    </row>
    <row r="21" spans="1:16" x14ac:dyDescent="0.2">
      <c r="A21" s="188">
        <v>43221</v>
      </c>
      <c r="B21" s="119">
        <f>VLOOKUP(A21,'ESAI - Q3 - Base Case'!$A$5:$J$342,9)</f>
        <v>47.599564999999998</v>
      </c>
      <c r="C21" s="119">
        <f t="shared" si="9"/>
        <v>0</v>
      </c>
      <c r="D21" s="119">
        <f t="shared" si="12"/>
        <v>49.027551950000003</v>
      </c>
      <c r="E21" s="119">
        <f t="shared" si="10"/>
        <v>0</v>
      </c>
      <c r="F21" s="119">
        <f t="shared" si="11"/>
        <v>49.027551950000003</v>
      </c>
      <c r="G21" s="119">
        <v>0</v>
      </c>
      <c r="H21" s="119">
        <f t="shared" si="3"/>
        <v>49.027551950000003</v>
      </c>
      <c r="J21" s="119">
        <f>VLOOKUP(A21,'ESAI - Q3 - Base Case'!$A$5:$J$342,10)</f>
        <v>38.935558</v>
      </c>
      <c r="K21" s="119">
        <f t="shared" si="4"/>
        <v>0</v>
      </c>
      <c r="L21" s="119">
        <f t="shared" si="1"/>
        <v>40.103624740000001</v>
      </c>
      <c r="M21" s="119">
        <f t="shared" si="5"/>
        <v>0</v>
      </c>
      <c r="N21" s="119">
        <f t="shared" si="6"/>
        <v>40.103624740000001</v>
      </c>
      <c r="O21" s="119">
        <v>0</v>
      </c>
      <c r="P21" s="119">
        <f t="shared" si="7"/>
        <v>40.103624740000001</v>
      </c>
    </row>
    <row r="22" spans="1:16" x14ac:dyDescent="0.2">
      <c r="A22" s="188">
        <v>43252</v>
      </c>
      <c r="B22" s="119">
        <f>VLOOKUP(A22,'ESAI - Q3 - Base Case'!$A$5:$J$342,9)</f>
        <v>55.876427999999997</v>
      </c>
      <c r="C22" s="119">
        <f t="shared" si="9"/>
        <v>0</v>
      </c>
      <c r="D22" s="119">
        <f t="shared" si="12"/>
        <v>57.552720839999999</v>
      </c>
      <c r="E22" s="119">
        <f t="shared" si="10"/>
        <v>0</v>
      </c>
      <c r="F22" s="119">
        <f t="shared" si="11"/>
        <v>57.552720839999999</v>
      </c>
      <c r="G22" s="119">
        <v>0</v>
      </c>
      <c r="H22" s="119">
        <f t="shared" si="3"/>
        <v>57.552720839999999</v>
      </c>
      <c r="J22" s="119">
        <f>VLOOKUP(A22,'ESAI - Q3 - Base Case'!$A$5:$J$342,10)</f>
        <v>38.944270000000003</v>
      </c>
      <c r="K22" s="119">
        <f t="shared" si="4"/>
        <v>0</v>
      </c>
      <c r="L22" s="119">
        <f t="shared" si="1"/>
        <v>40.112598100000007</v>
      </c>
      <c r="M22" s="119">
        <f t="shared" si="5"/>
        <v>0</v>
      </c>
      <c r="N22" s="119">
        <f t="shared" si="6"/>
        <v>40.112598100000007</v>
      </c>
      <c r="O22" s="119">
        <v>0</v>
      </c>
      <c r="P22" s="119">
        <f t="shared" si="7"/>
        <v>40.112598100000007</v>
      </c>
    </row>
    <row r="23" spans="1:16" x14ac:dyDescent="0.2">
      <c r="A23" s="188">
        <v>43282</v>
      </c>
      <c r="B23" s="119">
        <f>VLOOKUP(A23,'ESAI - Q3 - Base Case'!$A$5:$J$342,9)</f>
        <v>71.312271999999993</v>
      </c>
      <c r="C23" s="119">
        <f t="shared" si="9"/>
        <v>0</v>
      </c>
      <c r="D23" s="119">
        <f t="shared" si="12"/>
        <v>73.451640159999997</v>
      </c>
      <c r="E23" s="119">
        <f t="shared" si="10"/>
        <v>0</v>
      </c>
      <c r="F23" s="119">
        <f t="shared" si="11"/>
        <v>73.451640159999997</v>
      </c>
      <c r="G23" s="119">
        <v>0</v>
      </c>
      <c r="H23" s="119">
        <f t="shared" si="3"/>
        <v>73.451640159999997</v>
      </c>
      <c r="J23" s="119">
        <f>VLOOKUP(A23,'ESAI - Q3 - Base Case'!$A$5:$J$342,10)</f>
        <v>42.775841</v>
      </c>
      <c r="K23" s="119">
        <f t="shared" si="4"/>
        <v>0</v>
      </c>
      <c r="L23" s="119">
        <f t="shared" si="1"/>
        <v>44.059116230000001</v>
      </c>
      <c r="M23" s="119">
        <f t="shared" si="5"/>
        <v>0</v>
      </c>
      <c r="N23" s="119">
        <f t="shared" si="6"/>
        <v>44.059116230000001</v>
      </c>
      <c r="O23" s="119">
        <v>0</v>
      </c>
      <c r="P23" s="119">
        <f t="shared" si="7"/>
        <v>44.059116230000001</v>
      </c>
    </row>
    <row r="24" spans="1:16" x14ac:dyDescent="0.2">
      <c r="A24" s="188">
        <v>43313</v>
      </c>
      <c r="B24" s="119">
        <f>VLOOKUP(A24,'ESAI - Q3 - Base Case'!$A$5:$J$342,9)</f>
        <v>58.819890999999998</v>
      </c>
      <c r="C24" s="119">
        <f t="shared" si="9"/>
        <v>0</v>
      </c>
      <c r="D24" s="119">
        <f t="shared" si="12"/>
        <v>60.584487729999999</v>
      </c>
      <c r="E24" s="119">
        <f t="shared" si="10"/>
        <v>0</v>
      </c>
      <c r="F24" s="119">
        <f t="shared" si="11"/>
        <v>60.584487729999999</v>
      </c>
      <c r="G24" s="119">
        <v>0</v>
      </c>
      <c r="H24" s="119">
        <f t="shared" si="3"/>
        <v>60.584487729999999</v>
      </c>
      <c r="J24" s="119">
        <f>VLOOKUP(A24,'ESAI - Q3 - Base Case'!$A$5:$J$342,10)</f>
        <v>42.170718000000001</v>
      </c>
      <c r="K24" s="119">
        <f t="shared" si="4"/>
        <v>0</v>
      </c>
      <c r="L24" s="119">
        <f t="shared" si="1"/>
        <v>43.435839540000003</v>
      </c>
      <c r="M24" s="119">
        <f t="shared" si="5"/>
        <v>0</v>
      </c>
      <c r="N24" s="119">
        <f t="shared" si="6"/>
        <v>43.435839540000003</v>
      </c>
      <c r="O24" s="119">
        <v>0</v>
      </c>
      <c r="P24" s="119">
        <f t="shared" si="7"/>
        <v>43.435839540000003</v>
      </c>
    </row>
    <row r="25" spans="1:16" x14ac:dyDescent="0.2">
      <c r="A25" s="188">
        <v>43344</v>
      </c>
      <c r="B25" s="119">
        <f>VLOOKUP(A25,'ESAI - Q3 - Base Case'!$A$5:$J$342,9)</f>
        <v>47.334468000000001</v>
      </c>
      <c r="C25" s="119">
        <f t="shared" si="9"/>
        <v>0</v>
      </c>
      <c r="D25" s="119">
        <f t="shared" si="12"/>
        <v>48.754502040000006</v>
      </c>
      <c r="E25" s="119">
        <f t="shared" si="10"/>
        <v>0</v>
      </c>
      <c r="F25" s="119">
        <f t="shared" si="11"/>
        <v>48.754502040000006</v>
      </c>
      <c r="G25" s="119">
        <v>0</v>
      </c>
      <c r="H25" s="119">
        <f t="shared" si="3"/>
        <v>48.754502040000006</v>
      </c>
      <c r="J25" s="119">
        <f>VLOOKUP(A25,'ESAI - Q3 - Base Case'!$A$5:$J$342,10)</f>
        <v>40.444749999999999</v>
      </c>
      <c r="K25" s="119">
        <f t="shared" si="4"/>
        <v>0</v>
      </c>
      <c r="L25" s="119">
        <f t="shared" si="1"/>
        <v>41.658092500000002</v>
      </c>
      <c r="M25" s="119">
        <f t="shared" si="5"/>
        <v>0</v>
      </c>
      <c r="N25" s="119">
        <f t="shared" si="6"/>
        <v>41.658092500000002</v>
      </c>
      <c r="O25" s="119">
        <v>0</v>
      </c>
      <c r="P25" s="119">
        <f t="shared" si="7"/>
        <v>41.658092500000002</v>
      </c>
    </row>
    <row r="26" spans="1:16" x14ac:dyDescent="0.2">
      <c r="A26" s="188">
        <v>43374</v>
      </c>
      <c r="B26" s="119">
        <f>VLOOKUP(A26,'ESAI - Q3 - Base Case'!$A$5:$J$342,9)</f>
        <v>44.955053999999997</v>
      </c>
      <c r="C26" s="119">
        <f t="shared" si="9"/>
        <v>0</v>
      </c>
      <c r="D26" s="119">
        <f t="shared" si="12"/>
        <v>46.303705619999995</v>
      </c>
      <c r="E26" s="119">
        <f t="shared" si="10"/>
        <v>0</v>
      </c>
      <c r="F26" s="119">
        <f t="shared" si="11"/>
        <v>46.303705619999995</v>
      </c>
      <c r="G26" s="119">
        <v>0</v>
      </c>
      <c r="H26" s="119">
        <f t="shared" si="3"/>
        <v>46.303705619999995</v>
      </c>
      <c r="J26" s="119">
        <f>VLOOKUP(A26,'ESAI - Q3 - Base Case'!$A$5:$J$342,10)</f>
        <v>38.162526</v>
      </c>
      <c r="K26" s="119">
        <f t="shared" si="4"/>
        <v>0</v>
      </c>
      <c r="L26" s="119">
        <f t="shared" si="1"/>
        <v>39.307401779999999</v>
      </c>
      <c r="M26" s="119">
        <f t="shared" si="5"/>
        <v>0</v>
      </c>
      <c r="N26" s="119">
        <f t="shared" si="6"/>
        <v>39.307401779999999</v>
      </c>
      <c r="O26" s="119">
        <v>0</v>
      </c>
      <c r="P26" s="119">
        <f t="shared" si="7"/>
        <v>39.307401779999999</v>
      </c>
    </row>
    <row r="27" spans="1:16" x14ac:dyDescent="0.2">
      <c r="A27" s="188">
        <v>43405</v>
      </c>
      <c r="B27" s="119">
        <f>VLOOKUP(A27,'ESAI - Q3 - Base Case'!$A$5:$J$342,9)</f>
        <v>48.925027999999998</v>
      </c>
      <c r="C27" s="119">
        <f t="shared" si="9"/>
        <v>0</v>
      </c>
      <c r="D27" s="119">
        <f t="shared" si="12"/>
        <v>50.392778839999998</v>
      </c>
      <c r="E27" s="119">
        <f t="shared" si="10"/>
        <v>0</v>
      </c>
      <c r="F27" s="119">
        <f t="shared" si="11"/>
        <v>50.392778839999998</v>
      </c>
      <c r="G27" s="119">
        <v>0</v>
      </c>
      <c r="H27" s="119">
        <f t="shared" si="3"/>
        <v>50.392778839999998</v>
      </c>
      <c r="J27" s="119">
        <f>VLOOKUP(A27,'ESAI - Q3 - Base Case'!$A$5:$J$342,10)</f>
        <v>42.363585999999998</v>
      </c>
      <c r="K27" s="119">
        <f t="shared" si="4"/>
        <v>0</v>
      </c>
      <c r="L27" s="119">
        <f t="shared" si="1"/>
        <v>43.634493579999997</v>
      </c>
      <c r="M27" s="119">
        <f t="shared" si="5"/>
        <v>0</v>
      </c>
      <c r="N27" s="119">
        <f t="shared" si="6"/>
        <v>43.634493579999997</v>
      </c>
      <c r="O27" s="119">
        <v>0</v>
      </c>
      <c r="P27" s="119">
        <f t="shared" si="7"/>
        <v>43.634493579999997</v>
      </c>
    </row>
    <row r="28" spans="1:16" x14ac:dyDescent="0.2">
      <c r="A28" s="188">
        <v>43435</v>
      </c>
      <c r="B28" s="119">
        <f>VLOOKUP(A28,'ESAI - Q3 - Base Case'!$A$5:$J$342,9)</f>
        <v>74.040565000000001</v>
      </c>
      <c r="C28" s="119">
        <f t="shared" si="9"/>
        <v>0</v>
      </c>
      <c r="D28" s="119">
        <f t="shared" si="12"/>
        <v>76.26178195</v>
      </c>
      <c r="E28" s="119">
        <f t="shared" si="10"/>
        <v>0</v>
      </c>
      <c r="F28" s="119">
        <f t="shared" si="11"/>
        <v>76.26178195</v>
      </c>
      <c r="G28" s="119">
        <v>0</v>
      </c>
      <c r="H28" s="119">
        <f t="shared" si="3"/>
        <v>76.26178195</v>
      </c>
      <c r="J28" s="119">
        <f>VLOOKUP(A28,'ESAI - Q3 - Base Case'!$A$5:$J$342,10)</f>
        <v>56.152009</v>
      </c>
      <c r="K28" s="119">
        <f t="shared" si="4"/>
        <v>0</v>
      </c>
      <c r="L28" s="119">
        <f t="shared" si="1"/>
        <v>57.836569269999998</v>
      </c>
      <c r="M28" s="119">
        <f t="shared" si="5"/>
        <v>0</v>
      </c>
      <c r="N28" s="119">
        <f t="shared" si="6"/>
        <v>57.836569269999998</v>
      </c>
      <c r="O28" s="119">
        <v>0</v>
      </c>
      <c r="P28" s="119">
        <f t="shared" si="7"/>
        <v>57.836569269999998</v>
      </c>
    </row>
    <row r="29" spans="1:16" x14ac:dyDescent="0.2">
      <c r="A29" s="188">
        <v>43466</v>
      </c>
      <c r="B29" s="119">
        <f>VLOOKUP(A29,'ESAI - Q3 - Base Case'!$A$5:$J$342,9)</f>
        <v>106.17793399999999</v>
      </c>
      <c r="C29" s="119">
        <f>C17*(1+'Firm Purchase Revenue Reqmnt'!$I$71)</f>
        <v>0</v>
      </c>
      <c r="D29" s="119">
        <f t="shared" si="12"/>
        <v>109.36327202</v>
      </c>
      <c r="E29" s="120">
        <f>E17*(1+$E$2)</f>
        <v>0</v>
      </c>
      <c r="F29" s="119">
        <f t="shared" si="11"/>
        <v>109.36327202</v>
      </c>
      <c r="G29" s="120">
        <v>0</v>
      </c>
      <c r="H29" s="119">
        <f t="shared" si="3"/>
        <v>109.36327202</v>
      </c>
      <c r="J29" s="119">
        <f>VLOOKUP(A29,'ESAI - Q3 - Base Case'!$A$5:$J$342,10)</f>
        <v>71.781728000000001</v>
      </c>
      <c r="K29" s="119">
        <f t="shared" si="4"/>
        <v>0</v>
      </c>
      <c r="L29" s="119">
        <f t="shared" si="1"/>
        <v>73.935179840000004</v>
      </c>
      <c r="M29" s="120">
        <f t="shared" si="5"/>
        <v>0</v>
      </c>
      <c r="N29" s="119">
        <f t="shared" si="6"/>
        <v>73.935179840000004</v>
      </c>
      <c r="O29" s="120">
        <v>0</v>
      </c>
      <c r="P29" s="119">
        <f t="shared" si="7"/>
        <v>73.935179840000004</v>
      </c>
    </row>
    <row r="30" spans="1:16" x14ac:dyDescent="0.2">
      <c r="A30" s="188">
        <v>43497</v>
      </c>
      <c r="B30" s="119">
        <f>VLOOKUP(A30,'ESAI - Q3 - Base Case'!$A$5:$J$342,9)</f>
        <v>76.479405999999997</v>
      </c>
      <c r="C30" s="119">
        <f>C29</f>
        <v>0</v>
      </c>
      <c r="D30" s="119">
        <f t="shared" si="12"/>
        <v>78.773788179999997</v>
      </c>
      <c r="E30" s="119">
        <f>E29</f>
        <v>0</v>
      </c>
      <c r="F30" s="119">
        <f t="shared" si="11"/>
        <v>78.773788179999997</v>
      </c>
      <c r="G30" s="119">
        <v>0</v>
      </c>
      <c r="H30" s="119">
        <f t="shared" si="3"/>
        <v>78.773788179999997</v>
      </c>
      <c r="J30" s="119">
        <f>VLOOKUP(A30,'ESAI - Q3 - Base Case'!$A$5:$J$342,10)</f>
        <v>64.554687000000001</v>
      </c>
      <c r="K30" s="119">
        <f t="shared" si="4"/>
        <v>0</v>
      </c>
      <c r="L30" s="119">
        <f t="shared" si="1"/>
        <v>66.491327609999999</v>
      </c>
      <c r="M30" s="119">
        <f t="shared" si="5"/>
        <v>0</v>
      </c>
      <c r="N30" s="119">
        <f t="shared" si="6"/>
        <v>66.491327609999999</v>
      </c>
      <c r="O30" s="119">
        <v>0</v>
      </c>
      <c r="P30" s="119">
        <f t="shared" si="7"/>
        <v>66.491327609999999</v>
      </c>
    </row>
    <row r="31" spans="1:16" x14ac:dyDescent="0.2">
      <c r="A31" s="188">
        <v>43525</v>
      </c>
      <c r="B31" s="119">
        <f>VLOOKUP(A31,'ESAI - Q3 - Base Case'!$A$5:$J$342,9)</f>
        <v>52.975862999999997</v>
      </c>
      <c r="C31" s="119">
        <f t="shared" ref="C31:C40" si="13">C30</f>
        <v>0</v>
      </c>
      <c r="D31" s="119">
        <f t="shared" si="12"/>
        <v>54.56513889</v>
      </c>
      <c r="E31" s="119">
        <f t="shared" ref="E31:E40" si="14">E30</f>
        <v>0</v>
      </c>
      <c r="F31" s="119">
        <f t="shared" si="11"/>
        <v>54.56513889</v>
      </c>
      <c r="G31" s="119">
        <v>0</v>
      </c>
      <c r="H31" s="119">
        <f t="shared" si="3"/>
        <v>54.56513889</v>
      </c>
      <c r="J31" s="119">
        <f>VLOOKUP(A31,'ESAI - Q3 - Base Case'!$A$5:$J$342,10)</f>
        <v>43.973405999999997</v>
      </c>
      <c r="K31" s="119">
        <f t="shared" si="4"/>
        <v>0</v>
      </c>
      <c r="L31" s="119">
        <f t="shared" si="1"/>
        <v>45.292608179999995</v>
      </c>
      <c r="M31" s="119">
        <f t="shared" si="5"/>
        <v>0</v>
      </c>
      <c r="N31" s="119">
        <f t="shared" si="6"/>
        <v>45.292608179999995</v>
      </c>
      <c r="O31" s="119">
        <v>0</v>
      </c>
      <c r="P31" s="119">
        <f t="shared" si="7"/>
        <v>45.292608179999995</v>
      </c>
    </row>
    <row r="32" spans="1:16" x14ac:dyDescent="0.2">
      <c r="A32" s="188">
        <v>43556</v>
      </c>
      <c r="B32" s="119">
        <f>VLOOKUP(A32,'ESAI - Q3 - Base Case'!$A$5:$J$342,9)</f>
        <v>48.701534000000002</v>
      </c>
      <c r="C32" s="119">
        <f t="shared" si="13"/>
        <v>0</v>
      </c>
      <c r="D32" s="119">
        <f t="shared" si="12"/>
        <v>50.162580020000007</v>
      </c>
      <c r="E32" s="119">
        <f t="shared" si="14"/>
        <v>0</v>
      </c>
      <c r="F32" s="119">
        <f t="shared" si="11"/>
        <v>50.162580020000007</v>
      </c>
      <c r="G32" s="119">
        <v>0</v>
      </c>
      <c r="H32" s="119">
        <f t="shared" si="3"/>
        <v>50.162580020000007</v>
      </c>
      <c r="J32" s="119">
        <f>VLOOKUP(A32,'ESAI - Q3 - Base Case'!$A$5:$J$342,10)</f>
        <v>39.132092</v>
      </c>
      <c r="K32" s="119">
        <f t="shared" si="4"/>
        <v>0</v>
      </c>
      <c r="L32" s="119">
        <f t="shared" si="1"/>
        <v>40.306054760000002</v>
      </c>
      <c r="M32" s="119">
        <f t="shared" si="5"/>
        <v>0</v>
      </c>
      <c r="N32" s="119">
        <f t="shared" si="6"/>
        <v>40.306054760000002</v>
      </c>
      <c r="O32" s="119">
        <v>0</v>
      </c>
      <c r="P32" s="119">
        <f t="shared" si="7"/>
        <v>40.306054760000002</v>
      </c>
    </row>
    <row r="33" spans="1:16" x14ac:dyDescent="0.2">
      <c r="A33" s="188">
        <v>43586</v>
      </c>
      <c r="B33" s="119">
        <f>VLOOKUP(A33,'ESAI - Q3 - Base Case'!$A$5:$J$342,9)</f>
        <v>49.746059000000002</v>
      </c>
      <c r="C33" s="119">
        <f t="shared" si="13"/>
        <v>0</v>
      </c>
      <c r="D33" s="119">
        <f t="shared" si="12"/>
        <v>51.238440770000004</v>
      </c>
      <c r="E33" s="119">
        <f t="shared" si="14"/>
        <v>0</v>
      </c>
      <c r="F33" s="119">
        <f t="shared" si="11"/>
        <v>51.238440770000004</v>
      </c>
      <c r="G33" s="119">
        <v>0</v>
      </c>
      <c r="H33" s="119">
        <f t="shared" si="3"/>
        <v>51.238440770000004</v>
      </c>
      <c r="J33" s="119">
        <f>VLOOKUP(A33,'ESAI - Q3 - Base Case'!$A$5:$J$342,10)</f>
        <v>40.021276</v>
      </c>
      <c r="K33" s="119">
        <f t="shared" si="4"/>
        <v>0</v>
      </c>
      <c r="L33" s="119">
        <f t="shared" si="1"/>
        <v>41.22191428</v>
      </c>
      <c r="M33" s="119">
        <f t="shared" si="5"/>
        <v>0</v>
      </c>
      <c r="N33" s="119">
        <f t="shared" si="6"/>
        <v>41.22191428</v>
      </c>
      <c r="O33" s="119">
        <v>0</v>
      </c>
      <c r="P33" s="119">
        <f t="shared" si="7"/>
        <v>41.22191428</v>
      </c>
    </row>
    <row r="34" spans="1:16" x14ac:dyDescent="0.2">
      <c r="A34" s="188">
        <v>43617</v>
      </c>
      <c r="B34" s="119">
        <f>VLOOKUP(A34,'ESAI - Q3 - Base Case'!$A$5:$J$342,9)</f>
        <v>58.077717999999997</v>
      </c>
      <c r="C34" s="119">
        <f t="shared" si="13"/>
        <v>0</v>
      </c>
      <c r="D34" s="119">
        <f t="shared" si="12"/>
        <v>59.820049539999999</v>
      </c>
      <c r="E34" s="119">
        <f t="shared" si="14"/>
        <v>0</v>
      </c>
      <c r="F34" s="119">
        <f t="shared" si="11"/>
        <v>59.820049539999999</v>
      </c>
      <c r="G34" s="119">
        <v>0</v>
      </c>
      <c r="H34" s="119">
        <f t="shared" si="3"/>
        <v>59.820049539999999</v>
      </c>
      <c r="J34" s="119">
        <f>VLOOKUP(A34,'ESAI - Q3 - Base Case'!$A$5:$J$342,10)</f>
        <v>40.310474999999997</v>
      </c>
      <c r="K34" s="119">
        <f t="shared" si="4"/>
        <v>0</v>
      </c>
      <c r="L34" s="119">
        <f t="shared" si="1"/>
        <v>41.519789249999995</v>
      </c>
      <c r="M34" s="119">
        <f t="shared" si="5"/>
        <v>0</v>
      </c>
      <c r="N34" s="119">
        <f t="shared" si="6"/>
        <v>41.519789249999995</v>
      </c>
      <c r="O34" s="119">
        <v>0</v>
      </c>
      <c r="P34" s="119">
        <f t="shared" si="7"/>
        <v>41.519789249999995</v>
      </c>
    </row>
    <row r="35" spans="1:16" x14ac:dyDescent="0.2">
      <c r="A35" s="188">
        <v>43647</v>
      </c>
      <c r="B35" s="119">
        <f>VLOOKUP(A35,'ESAI - Q3 - Base Case'!$A$5:$J$342,9)</f>
        <v>74.802037999999996</v>
      </c>
      <c r="C35" s="119">
        <f t="shared" si="13"/>
        <v>0</v>
      </c>
      <c r="D35" s="119">
        <f t="shared" si="12"/>
        <v>77.046099139999995</v>
      </c>
      <c r="E35" s="119">
        <f t="shared" si="14"/>
        <v>0</v>
      </c>
      <c r="F35" s="119">
        <f t="shared" si="11"/>
        <v>77.046099139999995</v>
      </c>
      <c r="G35" s="119">
        <v>0</v>
      </c>
      <c r="H35" s="119">
        <f t="shared" si="3"/>
        <v>77.046099139999995</v>
      </c>
      <c r="J35" s="119">
        <f>VLOOKUP(A35,'ESAI - Q3 - Base Case'!$A$5:$J$342,10)</f>
        <v>44.154573999999997</v>
      </c>
      <c r="K35" s="119">
        <f t="shared" si="4"/>
        <v>0</v>
      </c>
      <c r="L35" s="119">
        <f t="shared" si="1"/>
        <v>45.479211219999996</v>
      </c>
      <c r="M35" s="119">
        <f t="shared" si="5"/>
        <v>0</v>
      </c>
      <c r="N35" s="119">
        <f t="shared" si="6"/>
        <v>45.479211219999996</v>
      </c>
      <c r="O35" s="119">
        <v>0</v>
      </c>
      <c r="P35" s="119">
        <f t="shared" si="7"/>
        <v>45.479211219999996</v>
      </c>
    </row>
    <row r="36" spans="1:16" x14ac:dyDescent="0.2">
      <c r="A36" s="188">
        <v>43678</v>
      </c>
      <c r="B36" s="119">
        <f>VLOOKUP(A36,'ESAI - Q3 - Base Case'!$A$5:$J$342,9)</f>
        <v>59.900993999999997</v>
      </c>
      <c r="C36" s="119">
        <f t="shared" si="13"/>
        <v>0</v>
      </c>
      <c r="D36" s="119">
        <f t="shared" si="12"/>
        <v>61.698023819999996</v>
      </c>
      <c r="E36" s="119">
        <f t="shared" si="14"/>
        <v>0</v>
      </c>
      <c r="F36" s="119">
        <f t="shared" si="11"/>
        <v>61.698023819999996</v>
      </c>
      <c r="G36" s="119">
        <v>0</v>
      </c>
      <c r="H36" s="119">
        <f t="shared" si="3"/>
        <v>61.698023819999996</v>
      </c>
      <c r="J36" s="119">
        <f>VLOOKUP(A36,'ESAI - Q3 - Base Case'!$A$5:$J$342,10)</f>
        <v>43.439005000000002</v>
      </c>
      <c r="K36" s="119">
        <f t="shared" si="4"/>
        <v>0</v>
      </c>
      <c r="L36" s="119">
        <f t="shared" si="1"/>
        <v>44.742175150000001</v>
      </c>
      <c r="M36" s="119">
        <f t="shared" si="5"/>
        <v>0</v>
      </c>
      <c r="N36" s="119">
        <f t="shared" si="6"/>
        <v>44.742175150000001</v>
      </c>
      <c r="O36" s="119">
        <v>0</v>
      </c>
      <c r="P36" s="119">
        <f t="shared" si="7"/>
        <v>44.742175150000001</v>
      </c>
    </row>
    <row r="37" spans="1:16" x14ac:dyDescent="0.2">
      <c r="A37" s="188">
        <v>43709</v>
      </c>
      <c r="B37" s="119">
        <f>VLOOKUP(A37,'ESAI - Q3 - Base Case'!$A$5:$J$342,9)</f>
        <v>48.572797000000001</v>
      </c>
      <c r="C37" s="119">
        <f t="shared" si="13"/>
        <v>0</v>
      </c>
      <c r="D37" s="119">
        <f t="shared" si="12"/>
        <v>50.029980910000006</v>
      </c>
      <c r="E37" s="119">
        <f t="shared" si="14"/>
        <v>0</v>
      </c>
      <c r="F37" s="119">
        <f t="shared" si="11"/>
        <v>50.029980910000006</v>
      </c>
      <c r="G37" s="119">
        <v>0</v>
      </c>
      <c r="H37" s="119">
        <f t="shared" si="3"/>
        <v>50.029980910000006</v>
      </c>
      <c r="J37" s="119">
        <f>VLOOKUP(A37,'ESAI - Q3 - Base Case'!$A$5:$J$342,10)</f>
        <v>41.310572000000001</v>
      </c>
      <c r="K37" s="119">
        <f t="shared" si="4"/>
        <v>0</v>
      </c>
      <c r="L37" s="119">
        <f t="shared" si="1"/>
        <v>42.549889159999999</v>
      </c>
      <c r="M37" s="119">
        <f t="shared" si="5"/>
        <v>0</v>
      </c>
      <c r="N37" s="119">
        <f t="shared" si="6"/>
        <v>42.549889159999999</v>
      </c>
      <c r="O37" s="119">
        <v>0</v>
      </c>
      <c r="P37" s="119">
        <f t="shared" si="7"/>
        <v>42.549889159999999</v>
      </c>
    </row>
    <row r="38" spans="1:16" x14ac:dyDescent="0.2">
      <c r="A38" s="188">
        <v>43739</v>
      </c>
      <c r="B38" s="119">
        <f>VLOOKUP(A38,'ESAI - Q3 - Base Case'!$A$5:$J$342,9)</f>
        <v>46.147689999999997</v>
      </c>
      <c r="C38" s="119">
        <f t="shared" si="13"/>
        <v>0</v>
      </c>
      <c r="D38" s="119">
        <f t="shared" si="12"/>
        <v>47.5321207</v>
      </c>
      <c r="E38" s="119">
        <f t="shared" si="14"/>
        <v>0</v>
      </c>
      <c r="F38" s="119">
        <f t="shared" si="11"/>
        <v>47.5321207</v>
      </c>
      <c r="G38" s="119">
        <v>0</v>
      </c>
      <c r="H38" s="119">
        <f t="shared" si="3"/>
        <v>47.5321207</v>
      </c>
      <c r="J38" s="119">
        <f>VLOOKUP(A38,'ESAI - Q3 - Base Case'!$A$5:$J$342,10)</f>
        <v>39.395265000000002</v>
      </c>
      <c r="K38" s="119">
        <f t="shared" si="4"/>
        <v>0</v>
      </c>
      <c r="L38" s="119">
        <f t="shared" si="1"/>
        <v>40.577122950000003</v>
      </c>
      <c r="M38" s="119">
        <f t="shared" si="5"/>
        <v>0</v>
      </c>
      <c r="N38" s="119">
        <f t="shared" si="6"/>
        <v>40.577122950000003</v>
      </c>
      <c r="O38" s="119">
        <v>0</v>
      </c>
      <c r="P38" s="119">
        <f t="shared" si="7"/>
        <v>40.577122950000003</v>
      </c>
    </row>
    <row r="39" spans="1:16" x14ac:dyDescent="0.2">
      <c r="A39" s="188">
        <v>43770</v>
      </c>
      <c r="B39" s="119">
        <f>VLOOKUP(A39,'ESAI - Q3 - Base Case'!$A$5:$J$342,9)</f>
        <v>50.651606999999998</v>
      </c>
      <c r="C39" s="119">
        <f t="shared" si="13"/>
        <v>0</v>
      </c>
      <c r="D39" s="119">
        <f t="shared" si="12"/>
        <v>52.171155210000002</v>
      </c>
      <c r="E39" s="119">
        <f t="shared" si="14"/>
        <v>0</v>
      </c>
      <c r="F39" s="119">
        <f t="shared" si="11"/>
        <v>52.171155210000002</v>
      </c>
      <c r="G39" s="119">
        <v>0</v>
      </c>
      <c r="H39" s="119">
        <f t="shared" si="3"/>
        <v>52.171155210000002</v>
      </c>
      <c r="J39" s="119">
        <f>VLOOKUP(A39,'ESAI - Q3 - Base Case'!$A$5:$J$342,10)</f>
        <v>43.808202999999999</v>
      </c>
      <c r="K39" s="119">
        <f t="shared" si="4"/>
        <v>0</v>
      </c>
      <c r="L39" s="119">
        <f t="shared" si="1"/>
        <v>45.122449090000003</v>
      </c>
      <c r="M39" s="119">
        <f t="shared" si="5"/>
        <v>0</v>
      </c>
      <c r="N39" s="119">
        <f t="shared" si="6"/>
        <v>45.122449090000003</v>
      </c>
      <c r="O39" s="119">
        <v>0</v>
      </c>
      <c r="P39" s="119">
        <f t="shared" si="7"/>
        <v>45.122449090000003</v>
      </c>
    </row>
    <row r="40" spans="1:16" x14ac:dyDescent="0.2">
      <c r="A40" s="188">
        <v>43800</v>
      </c>
      <c r="B40" s="119">
        <f>VLOOKUP(A40,'ESAI - Q3 - Base Case'!$A$5:$J$342,9)</f>
        <v>76.402300999999994</v>
      </c>
      <c r="C40" s="119">
        <f t="shared" si="13"/>
        <v>0</v>
      </c>
      <c r="D40" s="119">
        <f t="shared" si="12"/>
        <v>78.694370030000002</v>
      </c>
      <c r="E40" s="119">
        <f t="shared" si="14"/>
        <v>0</v>
      </c>
      <c r="F40" s="119">
        <f t="shared" si="11"/>
        <v>78.694370030000002</v>
      </c>
      <c r="G40" s="119">
        <v>0</v>
      </c>
      <c r="H40" s="119">
        <f t="shared" si="3"/>
        <v>78.694370030000002</v>
      </c>
      <c r="J40" s="119">
        <f>VLOOKUP(A40,'ESAI - Q3 - Base Case'!$A$5:$J$342,10)</f>
        <v>57.705280000000002</v>
      </c>
      <c r="K40" s="119">
        <f t="shared" si="4"/>
        <v>0</v>
      </c>
      <c r="L40" s="119">
        <f t="shared" si="1"/>
        <v>59.4364384</v>
      </c>
      <c r="M40" s="119">
        <f t="shared" si="5"/>
        <v>0</v>
      </c>
      <c r="N40" s="119">
        <f t="shared" si="6"/>
        <v>59.4364384</v>
      </c>
      <c r="O40" s="119">
        <v>0</v>
      </c>
      <c r="P40" s="119">
        <f t="shared" si="7"/>
        <v>59.4364384</v>
      </c>
    </row>
    <row r="41" spans="1:16" x14ac:dyDescent="0.2">
      <c r="A41" s="188">
        <v>43831</v>
      </c>
      <c r="B41" s="119">
        <f>VLOOKUP(A41,'ESAI - Q3 - Base Case'!$A$5:$J$342,9)</f>
        <v>110.27769000000001</v>
      </c>
      <c r="C41" s="119">
        <f>C29*(1+'Firm Purchase Revenue Reqmnt'!$I$71)</f>
        <v>0</v>
      </c>
      <c r="D41" s="119">
        <f t="shared" si="12"/>
        <v>113.58602070000001</v>
      </c>
      <c r="E41" s="120">
        <f>E29*(1+$E$2)</f>
        <v>0</v>
      </c>
      <c r="F41" s="119">
        <f t="shared" si="11"/>
        <v>113.58602070000001</v>
      </c>
      <c r="G41" s="120">
        <v>0</v>
      </c>
      <c r="H41" s="119">
        <f t="shared" si="3"/>
        <v>113.58602070000001</v>
      </c>
      <c r="J41" s="119">
        <f>VLOOKUP(A41,'ESAI - Q3 - Base Case'!$A$5:$J$342,10)</f>
        <v>74.185478000000003</v>
      </c>
      <c r="K41" s="119">
        <f t="shared" si="4"/>
        <v>0</v>
      </c>
      <c r="L41" s="119">
        <f t="shared" si="1"/>
        <v>76.411042340000009</v>
      </c>
      <c r="M41" s="120">
        <f t="shared" si="5"/>
        <v>0</v>
      </c>
      <c r="N41" s="119">
        <f t="shared" si="6"/>
        <v>76.411042340000009</v>
      </c>
      <c r="O41" s="120">
        <v>0</v>
      </c>
      <c r="P41" s="119">
        <f t="shared" si="7"/>
        <v>76.411042340000009</v>
      </c>
    </row>
    <row r="42" spans="1:16" x14ac:dyDescent="0.2">
      <c r="A42" s="188">
        <v>43862</v>
      </c>
      <c r="B42" s="119">
        <f>VLOOKUP(A42,'ESAI - Q3 - Base Case'!$A$5:$J$342,9)</f>
        <v>79.056218000000001</v>
      </c>
      <c r="C42" s="119">
        <f>C41</f>
        <v>0</v>
      </c>
      <c r="D42" s="119">
        <f t="shared" si="12"/>
        <v>81.42790454</v>
      </c>
      <c r="E42" s="119">
        <f>E41</f>
        <v>0</v>
      </c>
      <c r="F42" s="119">
        <f t="shared" si="11"/>
        <v>81.42790454</v>
      </c>
      <c r="G42" s="119">
        <v>0</v>
      </c>
      <c r="H42" s="119">
        <f t="shared" si="3"/>
        <v>81.42790454</v>
      </c>
      <c r="J42" s="119">
        <f>VLOOKUP(A42,'ESAI - Q3 - Base Case'!$A$5:$J$342,10)</f>
        <v>66.853669999999994</v>
      </c>
      <c r="K42" s="119">
        <f t="shared" si="4"/>
        <v>0</v>
      </c>
      <c r="L42" s="119">
        <f t="shared" si="1"/>
        <v>68.859280099999992</v>
      </c>
      <c r="M42" s="119">
        <f t="shared" si="5"/>
        <v>0</v>
      </c>
      <c r="N42" s="119">
        <f t="shared" si="6"/>
        <v>68.859280099999992</v>
      </c>
      <c r="O42" s="119">
        <v>0</v>
      </c>
      <c r="P42" s="119">
        <f t="shared" si="7"/>
        <v>68.859280099999992</v>
      </c>
    </row>
    <row r="43" spans="1:16" x14ac:dyDescent="0.2">
      <c r="A43" s="188">
        <v>43891</v>
      </c>
      <c r="B43" s="119">
        <f>VLOOKUP(A43,'ESAI - Q3 - Base Case'!$A$5:$J$342,9)</f>
        <v>55.547414000000003</v>
      </c>
      <c r="C43" s="119">
        <f t="shared" ref="C43:C52" si="15">C42</f>
        <v>0</v>
      </c>
      <c r="D43" s="119">
        <f t="shared" si="12"/>
        <v>57.213836420000007</v>
      </c>
      <c r="E43" s="119">
        <f t="shared" ref="E43:E52" si="16">E42</f>
        <v>0</v>
      </c>
      <c r="F43" s="119">
        <f t="shared" si="11"/>
        <v>57.213836420000007</v>
      </c>
      <c r="G43" s="119">
        <v>0</v>
      </c>
      <c r="H43" s="119">
        <f t="shared" si="3"/>
        <v>57.213836420000007</v>
      </c>
      <c r="J43" s="119">
        <f>VLOOKUP(A43,'ESAI - Q3 - Base Case'!$A$5:$J$342,10)</f>
        <v>46.047933</v>
      </c>
      <c r="K43" s="119">
        <f t="shared" si="4"/>
        <v>0</v>
      </c>
      <c r="L43" s="119">
        <f t="shared" si="1"/>
        <v>47.429370990000002</v>
      </c>
      <c r="M43" s="119">
        <f t="shared" si="5"/>
        <v>0</v>
      </c>
      <c r="N43" s="119">
        <f t="shared" si="6"/>
        <v>47.429370990000002</v>
      </c>
      <c r="O43" s="119">
        <v>0</v>
      </c>
      <c r="P43" s="119">
        <f t="shared" si="7"/>
        <v>47.429370990000002</v>
      </c>
    </row>
    <row r="44" spans="1:16" x14ac:dyDescent="0.2">
      <c r="A44" s="188">
        <v>43922</v>
      </c>
      <c r="B44" s="119">
        <f>VLOOKUP(A44,'ESAI - Q3 - Base Case'!$A$5:$J$342,9)</f>
        <v>50.617784</v>
      </c>
      <c r="C44" s="119">
        <f t="shared" si="15"/>
        <v>0</v>
      </c>
      <c r="D44" s="119">
        <f t="shared" si="12"/>
        <v>52.136317519999999</v>
      </c>
      <c r="E44" s="119">
        <f t="shared" si="16"/>
        <v>0</v>
      </c>
      <c r="F44" s="119">
        <f t="shared" si="11"/>
        <v>52.136317519999999</v>
      </c>
      <c r="G44" s="119">
        <v>0</v>
      </c>
      <c r="H44" s="119">
        <f t="shared" si="3"/>
        <v>52.136317519999999</v>
      </c>
      <c r="J44" s="119">
        <f>VLOOKUP(A44,'ESAI - Q3 - Base Case'!$A$5:$J$342,10)</f>
        <v>41.179918000000001</v>
      </c>
      <c r="K44" s="119">
        <f t="shared" si="4"/>
        <v>0</v>
      </c>
      <c r="L44" s="119">
        <f t="shared" si="1"/>
        <v>42.415315540000002</v>
      </c>
      <c r="M44" s="119">
        <f t="shared" si="5"/>
        <v>0</v>
      </c>
      <c r="N44" s="119">
        <f t="shared" si="6"/>
        <v>42.415315540000002</v>
      </c>
      <c r="O44" s="119">
        <v>0</v>
      </c>
      <c r="P44" s="119">
        <f t="shared" si="7"/>
        <v>42.415315540000002</v>
      </c>
    </row>
    <row r="45" spans="1:16" x14ac:dyDescent="0.2">
      <c r="A45" s="188">
        <v>43952</v>
      </c>
      <c r="B45" s="119">
        <f>VLOOKUP(A45,'ESAI - Q3 - Base Case'!$A$5:$J$342,9)</f>
        <v>52.585773000000003</v>
      </c>
      <c r="C45" s="119">
        <f t="shared" si="15"/>
        <v>0</v>
      </c>
      <c r="D45" s="119">
        <f t="shared" si="12"/>
        <v>54.163346190000006</v>
      </c>
      <c r="E45" s="119">
        <f t="shared" si="16"/>
        <v>0</v>
      </c>
      <c r="F45" s="119">
        <f t="shared" si="11"/>
        <v>54.163346190000006</v>
      </c>
      <c r="G45" s="119">
        <v>0</v>
      </c>
      <c r="H45" s="119">
        <f t="shared" si="3"/>
        <v>54.163346190000006</v>
      </c>
      <c r="J45" s="119">
        <f>VLOOKUP(A45,'ESAI - Q3 - Base Case'!$A$5:$J$342,10)</f>
        <v>42.388871999999999</v>
      </c>
      <c r="K45" s="119">
        <f t="shared" si="4"/>
        <v>0</v>
      </c>
      <c r="L45" s="119">
        <f t="shared" si="1"/>
        <v>43.660538160000002</v>
      </c>
      <c r="M45" s="119">
        <f t="shared" si="5"/>
        <v>0</v>
      </c>
      <c r="N45" s="119">
        <f t="shared" si="6"/>
        <v>43.660538160000002</v>
      </c>
      <c r="O45" s="119">
        <v>0</v>
      </c>
      <c r="P45" s="119">
        <f t="shared" si="7"/>
        <v>43.660538160000002</v>
      </c>
    </row>
    <row r="46" spans="1:16" x14ac:dyDescent="0.2">
      <c r="A46" s="188">
        <v>43983</v>
      </c>
      <c r="B46" s="119">
        <f>VLOOKUP(A46,'ESAI - Q3 - Base Case'!$A$5:$J$342,9)</f>
        <v>62.936818000000002</v>
      </c>
      <c r="C46" s="119">
        <f t="shared" si="15"/>
        <v>0</v>
      </c>
      <c r="D46" s="119">
        <f t="shared" si="12"/>
        <v>64.824922540000003</v>
      </c>
      <c r="E46" s="119">
        <f t="shared" si="16"/>
        <v>0</v>
      </c>
      <c r="F46" s="119">
        <f t="shared" si="11"/>
        <v>64.824922540000003</v>
      </c>
      <c r="G46" s="119">
        <v>0</v>
      </c>
      <c r="H46" s="119">
        <f t="shared" si="3"/>
        <v>64.824922540000003</v>
      </c>
      <c r="J46" s="119">
        <f>VLOOKUP(A46,'ESAI - Q3 - Base Case'!$A$5:$J$342,10)</f>
        <v>43.156222</v>
      </c>
      <c r="K46" s="119">
        <f t="shared" si="4"/>
        <v>0</v>
      </c>
      <c r="L46" s="119">
        <f t="shared" si="1"/>
        <v>44.450908660000003</v>
      </c>
      <c r="M46" s="119">
        <f t="shared" si="5"/>
        <v>0</v>
      </c>
      <c r="N46" s="119">
        <f t="shared" si="6"/>
        <v>44.450908660000003</v>
      </c>
      <c r="O46" s="119">
        <v>0</v>
      </c>
      <c r="P46" s="119">
        <f t="shared" si="7"/>
        <v>44.450908660000003</v>
      </c>
    </row>
    <row r="47" spans="1:16" x14ac:dyDescent="0.2">
      <c r="A47" s="188">
        <v>44013</v>
      </c>
      <c r="B47" s="119">
        <f>VLOOKUP(A47,'ESAI - Q3 - Base Case'!$A$5:$J$342,9)</f>
        <v>77.083043000000004</v>
      </c>
      <c r="C47" s="119">
        <f t="shared" si="15"/>
        <v>0</v>
      </c>
      <c r="D47" s="119">
        <f t="shared" si="12"/>
        <v>79.395534290000001</v>
      </c>
      <c r="E47" s="119">
        <f t="shared" si="16"/>
        <v>0</v>
      </c>
      <c r="F47" s="119">
        <f t="shared" si="11"/>
        <v>79.395534290000001</v>
      </c>
      <c r="G47" s="119">
        <v>0</v>
      </c>
      <c r="H47" s="119">
        <f t="shared" si="3"/>
        <v>79.395534290000001</v>
      </c>
      <c r="J47" s="119">
        <f>VLOOKUP(A47,'ESAI - Q3 - Base Case'!$A$5:$J$342,10)</f>
        <v>46.230212000000002</v>
      </c>
      <c r="K47" s="119">
        <f t="shared" si="4"/>
        <v>0</v>
      </c>
      <c r="L47" s="119">
        <f t="shared" si="1"/>
        <v>47.617118360000006</v>
      </c>
      <c r="M47" s="119">
        <f t="shared" si="5"/>
        <v>0</v>
      </c>
      <c r="N47" s="119">
        <f t="shared" si="6"/>
        <v>47.617118360000006</v>
      </c>
      <c r="O47" s="119">
        <v>0</v>
      </c>
      <c r="P47" s="119">
        <f t="shared" si="7"/>
        <v>47.617118360000006</v>
      </c>
    </row>
    <row r="48" spans="1:16" x14ac:dyDescent="0.2">
      <c r="A48" s="188">
        <v>44044</v>
      </c>
      <c r="B48" s="119">
        <f>VLOOKUP(A48,'ESAI - Q3 - Base Case'!$A$5:$J$342,9)</f>
        <v>61.69491</v>
      </c>
      <c r="C48" s="119">
        <f t="shared" si="15"/>
        <v>0</v>
      </c>
      <c r="D48" s="119">
        <f t="shared" si="12"/>
        <v>63.545757300000005</v>
      </c>
      <c r="E48" s="119">
        <f t="shared" si="16"/>
        <v>0</v>
      </c>
      <c r="F48" s="119">
        <f t="shared" si="11"/>
        <v>63.545757300000005</v>
      </c>
      <c r="G48" s="119">
        <v>0</v>
      </c>
      <c r="H48" s="119">
        <f t="shared" si="3"/>
        <v>63.545757300000005</v>
      </c>
      <c r="J48" s="119">
        <f>VLOOKUP(A48,'ESAI - Q3 - Base Case'!$A$5:$J$342,10)</f>
        <v>45.275979999999997</v>
      </c>
      <c r="K48" s="119">
        <f t="shared" si="4"/>
        <v>0</v>
      </c>
      <c r="L48" s="119">
        <f t="shared" si="1"/>
        <v>46.634259399999998</v>
      </c>
      <c r="M48" s="119">
        <f t="shared" si="5"/>
        <v>0</v>
      </c>
      <c r="N48" s="119">
        <f t="shared" si="6"/>
        <v>46.634259399999998</v>
      </c>
      <c r="O48" s="119">
        <v>0</v>
      </c>
      <c r="P48" s="119">
        <f t="shared" si="7"/>
        <v>46.634259399999998</v>
      </c>
    </row>
    <row r="49" spans="1:16" x14ac:dyDescent="0.2">
      <c r="A49" s="188">
        <v>44075</v>
      </c>
      <c r="B49" s="119">
        <f>VLOOKUP(A49,'ESAI - Q3 - Base Case'!$A$5:$J$342,9)</f>
        <v>50.333806000000003</v>
      </c>
      <c r="C49" s="119">
        <f t="shared" si="15"/>
        <v>0</v>
      </c>
      <c r="D49" s="119">
        <f t="shared" si="12"/>
        <v>51.843820180000002</v>
      </c>
      <c r="E49" s="119">
        <f t="shared" si="16"/>
        <v>0</v>
      </c>
      <c r="F49" s="119">
        <f t="shared" si="11"/>
        <v>51.843820180000002</v>
      </c>
      <c r="G49" s="119">
        <v>0</v>
      </c>
      <c r="H49" s="119">
        <f t="shared" si="3"/>
        <v>51.843820180000002</v>
      </c>
      <c r="J49" s="119">
        <f>VLOOKUP(A49,'ESAI - Q3 - Base Case'!$A$5:$J$342,10)</f>
        <v>43.170352999999999</v>
      </c>
      <c r="K49" s="119">
        <f t="shared" si="4"/>
        <v>0</v>
      </c>
      <c r="L49" s="119">
        <f t="shared" si="1"/>
        <v>44.465463589999999</v>
      </c>
      <c r="M49" s="119">
        <f t="shared" si="5"/>
        <v>0</v>
      </c>
      <c r="N49" s="119">
        <f t="shared" si="6"/>
        <v>44.465463589999999</v>
      </c>
      <c r="O49" s="119">
        <v>0</v>
      </c>
      <c r="P49" s="119">
        <f t="shared" si="7"/>
        <v>44.465463589999999</v>
      </c>
    </row>
    <row r="50" spans="1:16" x14ac:dyDescent="0.2">
      <c r="A50" s="188">
        <v>44105</v>
      </c>
      <c r="B50" s="119">
        <f>VLOOKUP(A50,'ESAI - Q3 - Base Case'!$A$5:$J$342,9)</f>
        <v>47.897727000000003</v>
      </c>
      <c r="C50" s="119">
        <f t="shared" si="15"/>
        <v>0</v>
      </c>
      <c r="D50" s="119">
        <f t="shared" si="12"/>
        <v>49.334658810000008</v>
      </c>
      <c r="E50" s="119">
        <f t="shared" si="16"/>
        <v>0</v>
      </c>
      <c r="F50" s="119">
        <f t="shared" si="11"/>
        <v>49.334658810000008</v>
      </c>
      <c r="G50" s="119">
        <v>0</v>
      </c>
      <c r="H50" s="119">
        <f t="shared" si="3"/>
        <v>49.334658810000008</v>
      </c>
      <c r="J50" s="119">
        <f>VLOOKUP(A50,'ESAI - Q3 - Base Case'!$A$5:$J$342,10)</f>
        <v>41.319336</v>
      </c>
      <c r="K50" s="119">
        <f t="shared" si="4"/>
        <v>0</v>
      </c>
      <c r="L50" s="119">
        <f t="shared" si="1"/>
        <v>42.558916080000003</v>
      </c>
      <c r="M50" s="119">
        <f t="shared" si="5"/>
        <v>0</v>
      </c>
      <c r="N50" s="119">
        <f t="shared" si="6"/>
        <v>42.558916080000003</v>
      </c>
      <c r="O50" s="119">
        <v>0</v>
      </c>
      <c r="P50" s="119">
        <f t="shared" si="7"/>
        <v>42.558916080000003</v>
      </c>
    </row>
    <row r="51" spans="1:16" x14ac:dyDescent="0.2">
      <c r="A51" s="188">
        <v>44136</v>
      </c>
      <c r="B51" s="119">
        <f>VLOOKUP(A51,'ESAI - Q3 - Base Case'!$A$5:$J$342,9)</f>
        <v>53.995683999999997</v>
      </c>
      <c r="C51" s="119">
        <f t="shared" si="15"/>
        <v>0</v>
      </c>
      <c r="D51" s="119">
        <f t="shared" si="12"/>
        <v>55.615554519999996</v>
      </c>
      <c r="E51" s="119">
        <f t="shared" si="16"/>
        <v>0</v>
      </c>
      <c r="F51" s="119">
        <f t="shared" si="11"/>
        <v>55.615554519999996</v>
      </c>
      <c r="G51" s="119">
        <v>0</v>
      </c>
      <c r="H51" s="119">
        <f t="shared" si="3"/>
        <v>55.615554519999996</v>
      </c>
      <c r="J51" s="119">
        <f>VLOOKUP(A51,'ESAI - Q3 - Base Case'!$A$5:$J$342,10)</f>
        <v>45.794583000000003</v>
      </c>
      <c r="K51" s="119">
        <f t="shared" si="4"/>
        <v>0</v>
      </c>
      <c r="L51" s="119">
        <f t="shared" si="1"/>
        <v>47.168420490000003</v>
      </c>
      <c r="M51" s="119">
        <f t="shared" si="5"/>
        <v>0</v>
      </c>
      <c r="N51" s="119">
        <f t="shared" si="6"/>
        <v>47.168420490000003</v>
      </c>
      <c r="O51" s="119">
        <v>0</v>
      </c>
      <c r="P51" s="119">
        <f t="shared" si="7"/>
        <v>47.168420490000003</v>
      </c>
    </row>
    <row r="52" spans="1:16" x14ac:dyDescent="0.2">
      <c r="A52" s="188">
        <v>44166</v>
      </c>
      <c r="B52" s="119">
        <f>VLOOKUP(A52,'ESAI - Q3 - Base Case'!$A$5:$J$342,9)</f>
        <v>79.902934000000002</v>
      </c>
      <c r="C52" s="119">
        <f t="shared" si="15"/>
        <v>0</v>
      </c>
      <c r="D52" s="119">
        <f t="shared" si="12"/>
        <v>82.30002202</v>
      </c>
      <c r="E52" s="119">
        <f t="shared" si="16"/>
        <v>0</v>
      </c>
      <c r="F52" s="119">
        <f t="shared" si="11"/>
        <v>82.30002202</v>
      </c>
      <c r="G52" s="119">
        <v>0</v>
      </c>
      <c r="H52" s="119">
        <f t="shared" si="3"/>
        <v>82.30002202</v>
      </c>
      <c r="J52" s="119">
        <f>VLOOKUP(A52,'ESAI - Q3 - Base Case'!$A$5:$J$342,10)</f>
        <v>59.772525999999999</v>
      </c>
      <c r="K52" s="119">
        <f t="shared" si="4"/>
        <v>0</v>
      </c>
      <c r="L52" s="119">
        <f t="shared" si="1"/>
        <v>61.565701779999998</v>
      </c>
      <c r="M52" s="119">
        <f t="shared" si="5"/>
        <v>0</v>
      </c>
      <c r="N52" s="119">
        <f t="shared" si="6"/>
        <v>61.565701779999998</v>
      </c>
      <c r="O52" s="119">
        <v>0</v>
      </c>
      <c r="P52" s="119">
        <f t="shared" si="7"/>
        <v>61.565701779999998</v>
      </c>
    </row>
    <row r="53" spans="1:16" x14ac:dyDescent="0.2">
      <c r="A53" s="188">
        <v>44197</v>
      </c>
      <c r="B53" s="119">
        <f>VLOOKUP(A53,'ESAI - Q3 - Base Case'!$A$5:$J$342,9)</f>
        <v>112.82868999999999</v>
      </c>
      <c r="C53" s="119">
        <f>C41*(1+'Firm Purchase Revenue Reqmnt'!$I$71)</f>
        <v>0</v>
      </c>
      <c r="D53" s="119">
        <f t="shared" si="12"/>
        <v>116.2135507</v>
      </c>
      <c r="E53" s="120">
        <f>E41*(1+$E$2)</f>
        <v>0</v>
      </c>
      <c r="F53" s="119">
        <f t="shared" si="11"/>
        <v>116.2135507</v>
      </c>
      <c r="G53" s="120">
        <v>0</v>
      </c>
      <c r="H53" s="119">
        <f t="shared" si="3"/>
        <v>116.2135507</v>
      </c>
      <c r="J53" s="119">
        <f>VLOOKUP(A53,'ESAI - Q3 - Base Case'!$A$5:$J$342,10)</f>
        <v>75.929191000000003</v>
      </c>
      <c r="K53" s="119">
        <f t="shared" si="4"/>
        <v>0</v>
      </c>
      <c r="L53" s="119">
        <f t="shared" si="1"/>
        <v>78.207066730000008</v>
      </c>
      <c r="M53" s="120">
        <f t="shared" si="5"/>
        <v>0</v>
      </c>
      <c r="N53" s="119">
        <f t="shared" si="6"/>
        <v>78.207066730000008</v>
      </c>
      <c r="O53" s="120">
        <v>0</v>
      </c>
      <c r="P53" s="119">
        <f t="shared" si="7"/>
        <v>78.207066730000008</v>
      </c>
    </row>
    <row r="54" spans="1:16" x14ac:dyDescent="0.2">
      <c r="A54" s="188">
        <v>44228</v>
      </c>
      <c r="B54" s="119">
        <f>VLOOKUP(A54,'ESAI - Q3 - Base Case'!$A$5:$J$342,9)</f>
        <v>81.563592999999997</v>
      </c>
      <c r="C54" s="119">
        <f>C53</f>
        <v>0</v>
      </c>
      <c r="D54" s="119">
        <f t="shared" si="12"/>
        <v>84.010500789999995</v>
      </c>
      <c r="E54" s="119">
        <f>E53</f>
        <v>0</v>
      </c>
      <c r="F54" s="119">
        <f t="shared" si="11"/>
        <v>84.010500789999995</v>
      </c>
      <c r="G54" s="119">
        <v>0</v>
      </c>
      <c r="H54" s="119">
        <f t="shared" si="3"/>
        <v>84.010500789999995</v>
      </c>
      <c r="J54" s="119">
        <f>VLOOKUP(A54,'ESAI - Q3 - Base Case'!$A$5:$J$342,10)</f>
        <v>68.032556</v>
      </c>
      <c r="K54" s="119">
        <f t="shared" si="4"/>
        <v>0</v>
      </c>
      <c r="L54" s="119">
        <f t="shared" si="1"/>
        <v>70.07353268</v>
      </c>
      <c r="M54" s="119">
        <f t="shared" si="5"/>
        <v>0</v>
      </c>
      <c r="N54" s="119">
        <f t="shared" si="6"/>
        <v>70.07353268</v>
      </c>
      <c r="O54" s="119">
        <v>0</v>
      </c>
      <c r="P54" s="119">
        <f t="shared" si="7"/>
        <v>70.07353268</v>
      </c>
    </row>
    <row r="55" spans="1:16" x14ac:dyDescent="0.2">
      <c r="A55" s="188">
        <v>44256</v>
      </c>
      <c r="B55" s="119">
        <f>VLOOKUP(A55,'ESAI - Q3 - Base Case'!$A$5:$J$342,9)</f>
        <v>57.248668000000002</v>
      </c>
      <c r="C55" s="119">
        <f t="shared" ref="C55:C64" si="17">C54</f>
        <v>0</v>
      </c>
      <c r="D55" s="119">
        <f t="shared" si="12"/>
        <v>58.966128040000001</v>
      </c>
      <c r="E55" s="119">
        <f t="shared" ref="E55:E64" si="18">E54</f>
        <v>0</v>
      </c>
      <c r="F55" s="119">
        <f t="shared" si="11"/>
        <v>58.966128040000001</v>
      </c>
      <c r="G55" s="119">
        <v>0</v>
      </c>
      <c r="H55" s="119">
        <f t="shared" si="3"/>
        <v>58.966128040000001</v>
      </c>
      <c r="J55" s="119">
        <f>VLOOKUP(A55,'ESAI - Q3 - Base Case'!$A$5:$J$342,10)</f>
        <v>47.500850999999997</v>
      </c>
      <c r="K55" s="119">
        <f t="shared" si="4"/>
        <v>0</v>
      </c>
      <c r="L55" s="119">
        <f t="shared" si="1"/>
        <v>48.925876529999996</v>
      </c>
      <c r="M55" s="119">
        <f t="shared" si="5"/>
        <v>0</v>
      </c>
      <c r="N55" s="119">
        <f t="shared" si="6"/>
        <v>48.925876529999996</v>
      </c>
      <c r="O55" s="119">
        <v>0</v>
      </c>
      <c r="P55" s="119">
        <f t="shared" si="7"/>
        <v>48.925876529999996</v>
      </c>
    </row>
    <row r="56" spans="1:16" x14ac:dyDescent="0.2">
      <c r="A56" s="188">
        <v>44287</v>
      </c>
      <c r="B56" s="119">
        <f>VLOOKUP(A56,'ESAI - Q3 - Base Case'!$A$5:$J$342,9)</f>
        <v>52.478011000000002</v>
      </c>
      <c r="C56" s="119">
        <f t="shared" si="17"/>
        <v>0</v>
      </c>
      <c r="D56" s="119">
        <f t="shared" si="12"/>
        <v>54.05235133</v>
      </c>
      <c r="E56" s="119">
        <f t="shared" si="18"/>
        <v>0</v>
      </c>
      <c r="F56" s="119">
        <f t="shared" si="11"/>
        <v>54.05235133</v>
      </c>
      <c r="G56" s="119">
        <v>0</v>
      </c>
      <c r="H56" s="119">
        <f t="shared" si="3"/>
        <v>54.05235133</v>
      </c>
      <c r="J56" s="119">
        <f>VLOOKUP(A56,'ESAI - Q3 - Base Case'!$A$5:$J$342,10)</f>
        <v>42.455516000000003</v>
      </c>
      <c r="K56" s="119">
        <f t="shared" si="4"/>
        <v>0</v>
      </c>
      <c r="L56" s="119">
        <f t="shared" si="1"/>
        <v>43.729181480000001</v>
      </c>
      <c r="M56" s="119">
        <f t="shared" si="5"/>
        <v>0</v>
      </c>
      <c r="N56" s="119">
        <f t="shared" si="6"/>
        <v>43.729181480000001</v>
      </c>
      <c r="O56" s="119">
        <v>0</v>
      </c>
      <c r="P56" s="119">
        <f t="shared" si="7"/>
        <v>43.729181480000001</v>
      </c>
    </row>
    <row r="57" spans="1:16" x14ac:dyDescent="0.2">
      <c r="A57" s="188">
        <v>44317</v>
      </c>
      <c r="B57" s="119">
        <f>VLOOKUP(A57,'ESAI - Q3 - Base Case'!$A$5:$J$342,9)</f>
        <v>55.846755000000002</v>
      </c>
      <c r="C57" s="119">
        <f t="shared" si="17"/>
        <v>0</v>
      </c>
      <c r="D57" s="119">
        <f t="shared" si="12"/>
        <v>57.522157650000004</v>
      </c>
      <c r="E57" s="119">
        <f t="shared" si="18"/>
        <v>0</v>
      </c>
      <c r="F57" s="119">
        <f t="shared" si="11"/>
        <v>57.522157650000004</v>
      </c>
      <c r="G57" s="119">
        <v>0</v>
      </c>
      <c r="H57" s="119">
        <f t="shared" si="3"/>
        <v>57.522157650000004</v>
      </c>
      <c r="J57" s="119">
        <f>VLOOKUP(A57,'ESAI - Q3 - Base Case'!$A$5:$J$342,10)</f>
        <v>43.82723</v>
      </c>
      <c r="K57" s="119">
        <f t="shared" si="4"/>
        <v>0</v>
      </c>
      <c r="L57" s="119">
        <f t="shared" si="1"/>
        <v>45.142046900000004</v>
      </c>
      <c r="M57" s="119">
        <f t="shared" si="5"/>
        <v>0</v>
      </c>
      <c r="N57" s="119">
        <f t="shared" si="6"/>
        <v>45.142046900000004</v>
      </c>
      <c r="O57" s="119">
        <v>0</v>
      </c>
      <c r="P57" s="119">
        <f t="shared" si="7"/>
        <v>45.142046900000004</v>
      </c>
    </row>
    <row r="58" spans="1:16" x14ac:dyDescent="0.2">
      <c r="A58" s="188">
        <v>44348</v>
      </c>
      <c r="B58" s="119">
        <f>VLOOKUP(A58,'ESAI - Q3 - Base Case'!$A$5:$J$342,9)</f>
        <v>64.456704000000002</v>
      </c>
      <c r="C58" s="119">
        <f t="shared" si="17"/>
        <v>0</v>
      </c>
      <c r="D58" s="119">
        <f t="shared" si="12"/>
        <v>66.390405119999997</v>
      </c>
      <c r="E58" s="119">
        <f t="shared" si="18"/>
        <v>0</v>
      </c>
      <c r="F58" s="119">
        <f t="shared" si="11"/>
        <v>66.390405119999997</v>
      </c>
      <c r="G58" s="119">
        <v>0</v>
      </c>
      <c r="H58" s="119">
        <f t="shared" si="3"/>
        <v>66.390405119999997</v>
      </c>
      <c r="J58" s="119">
        <f>VLOOKUP(A58,'ESAI - Q3 - Base Case'!$A$5:$J$342,10)</f>
        <v>44.868206000000001</v>
      </c>
      <c r="K58" s="119">
        <f t="shared" si="4"/>
        <v>0</v>
      </c>
      <c r="L58" s="119">
        <f t="shared" si="1"/>
        <v>46.214252180000003</v>
      </c>
      <c r="M58" s="119">
        <f t="shared" si="5"/>
        <v>0</v>
      </c>
      <c r="N58" s="119">
        <f t="shared" si="6"/>
        <v>46.214252180000003</v>
      </c>
      <c r="O58" s="119">
        <v>0</v>
      </c>
      <c r="P58" s="119">
        <f t="shared" si="7"/>
        <v>46.214252180000003</v>
      </c>
    </row>
    <row r="59" spans="1:16" x14ac:dyDescent="0.2">
      <c r="A59" s="188">
        <v>44378</v>
      </c>
      <c r="B59" s="119">
        <f>VLOOKUP(A59,'ESAI - Q3 - Base Case'!$A$5:$J$342,9)</f>
        <v>78.345284000000007</v>
      </c>
      <c r="C59" s="119">
        <f t="shared" si="17"/>
        <v>0</v>
      </c>
      <c r="D59" s="119">
        <f t="shared" si="12"/>
        <v>80.695642520000007</v>
      </c>
      <c r="E59" s="119">
        <f t="shared" si="18"/>
        <v>0</v>
      </c>
      <c r="F59" s="119">
        <f t="shared" si="11"/>
        <v>80.695642520000007</v>
      </c>
      <c r="G59" s="119">
        <v>0</v>
      </c>
      <c r="H59" s="119">
        <f t="shared" si="3"/>
        <v>80.695642520000007</v>
      </c>
      <c r="J59" s="119">
        <f>VLOOKUP(A59,'ESAI - Q3 - Base Case'!$A$5:$J$342,10)</f>
        <v>47.653750000000002</v>
      </c>
      <c r="K59" s="119">
        <f t="shared" si="4"/>
        <v>0</v>
      </c>
      <c r="L59" s="119">
        <f t="shared" si="1"/>
        <v>49.083362500000007</v>
      </c>
      <c r="M59" s="119">
        <f t="shared" si="5"/>
        <v>0</v>
      </c>
      <c r="N59" s="119">
        <f t="shared" si="6"/>
        <v>49.083362500000007</v>
      </c>
      <c r="O59" s="119">
        <v>0</v>
      </c>
      <c r="P59" s="119">
        <f t="shared" si="7"/>
        <v>49.083362500000007</v>
      </c>
    </row>
    <row r="60" spans="1:16" x14ac:dyDescent="0.2">
      <c r="A60" s="188">
        <v>44409</v>
      </c>
      <c r="B60" s="119">
        <f>VLOOKUP(A60,'ESAI - Q3 - Base Case'!$A$5:$J$342,9)</f>
        <v>62.358125000000001</v>
      </c>
      <c r="C60" s="119">
        <f t="shared" si="17"/>
        <v>0</v>
      </c>
      <c r="D60" s="119">
        <f t="shared" si="12"/>
        <v>64.228868750000004</v>
      </c>
      <c r="E60" s="119">
        <f t="shared" si="18"/>
        <v>0</v>
      </c>
      <c r="F60" s="119">
        <f t="shared" si="11"/>
        <v>64.228868750000004</v>
      </c>
      <c r="G60" s="119">
        <v>0</v>
      </c>
      <c r="H60" s="119">
        <f t="shared" si="3"/>
        <v>64.228868750000004</v>
      </c>
      <c r="J60" s="119">
        <f>VLOOKUP(A60,'ESAI - Q3 - Base Case'!$A$5:$J$342,10)</f>
        <v>46.583775000000003</v>
      </c>
      <c r="K60" s="119">
        <f t="shared" si="4"/>
        <v>0</v>
      </c>
      <c r="L60" s="119">
        <f t="shared" si="1"/>
        <v>47.981288250000006</v>
      </c>
      <c r="M60" s="119">
        <f t="shared" si="5"/>
        <v>0</v>
      </c>
      <c r="N60" s="119">
        <f t="shared" si="6"/>
        <v>47.981288250000006</v>
      </c>
      <c r="O60" s="119">
        <v>0</v>
      </c>
      <c r="P60" s="119">
        <f t="shared" si="7"/>
        <v>47.981288250000006</v>
      </c>
    </row>
    <row r="61" spans="1:16" x14ac:dyDescent="0.2">
      <c r="A61" s="188">
        <v>44440</v>
      </c>
      <c r="B61" s="119">
        <f>VLOOKUP(A61,'ESAI - Q3 - Base Case'!$A$5:$J$342,9)</f>
        <v>51.411250000000003</v>
      </c>
      <c r="C61" s="119">
        <f t="shared" si="17"/>
        <v>0</v>
      </c>
      <c r="D61" s="119">
        <f t="shared" si="12"/>
        <v>52.953587500000005</v>
      </c>
      <c r="E61" s="119">
        <f t="shared" si="18"/>
        <v>0</v>
      </c>
      <c r="F61" s="119">
        <f t="shared" si="11"/>
        <v>52.953587500000005</v>
      </c>
      <c r="G61" s="119">
        <v>0</v>
      </c>
      <c r="H61" s="119">
        <f t="shared" si="3"/>
        <v>52.953587500000005</v>
      </c>
      <c r="J61" s="119">
        <f>VLOOKUP(A61,'ESAI - Q3 - Base Case'!$A$5:$J$342,10)</f>
        <v>44.518287999999998</v>
      </c>
      <c r="K61" s="119">
        <f t="shared" si="4"/>
        <v>0</v>
      </c>
      <c r="L61" s="119">
        <f t="shared" si="1"/>
        <v>45.853836639999997</v>
      </c>
      <c r="M61" s="119">
        <f t="shared" si="5"/>
        <v>0</v>
      </c>
      <c r="N61" s="119">
        <f t="shared" si="6"/>
        <v>45.853836639999997</v>
      </c>
      <c r="O61" s="119">
        <v>0</v>
      </c>
      <c r="P61" s="119">
        <f t="shared" si="7"/>
        <v>45.853836639999997</v>
      </c>
    </row>
    <row r="62" spans="1:16" x14ac:dyDescent="0.2">
      <c r="A62" s="188">
        <v>44470</v>
      </c>
      <c r="B62" s="119">
        <f>VLOOKUP(A62,'ESAI - Q3 - Base Case'!$A$5:$J$342,9)</f>
        <v>49.029879999999999</v>
      </c>
      <c r="C62" s="119">
        <f t="shared" si="17"/>
        <v>0</v>
      </c>
      <c r="D62" s="119">
        <f t="shared" si="12"/>
        <v>50.500776399999999</v>
      </c>
      <c r="E62" s="119">
        <f t="shared" si="18"/>
        <v>0</v>
      </c>
      <c r="F62" s="119">
        <f t="shared" si="11"/>
        <v>50.500776399999999</v>
      </c>
      <c r="G62" s="119">
        <v>0</v>
      </c>
      <c r="H62" s="119">
        <f t="shared" si="3"/>
        <v>50.500776399999999</v>
      </c>
      <c r="J62" s="119">
        <f>VLOOKUP(A62,'ESAI - Q3 - Base Case'!$A$5:$J$342,10)</f>
        <v>42.522401000000002</v>
      </c>
      <c r="K62" s="119">
        <f t="shared" si="4"/>
        <v>0</v>
      </c>
      <c r="L62" s="119">
        <f t="shared" si="1"/>
        <v>43.798073030000005</v>
      </c>
      <c r="M62" s="119">
        <f t="shared" si="5"/>
        <v>0</v>
      </c>
      <c r="N62" s="119">
        <f t="shared" si="6"/>
        <v>43.798073030000005</v>
      </c>
      <c r="O62" s="119">
        <v>0</v>
      </c>
      <c r="P62" s="119">
        <f t="shared" si="7"/>
        <v>43.798073030000005</v>
      </c>
    </row>
    <row r="63" spans="1:16" x14ac:dyDescent="0.2">
      <c r="A63" s="188">
        <v>44501</v>
      </c>
      <c r="B63" s="119">
        <f>VLOOKUP(A63,'ESAI - Q3 - Base Case'!$A$5:$J$342,9)</f>
        <v>55.967187000000003</v>
      </c>
      <c r="C63" s="119">
        <f t="shared" si="17"/>
        <v>0</v>
      </c>
      <c r="D63" s="119">
        <f t="shared" si="12"/>
        <v>57.646202610000003</v>
      </c>
      <c r="E63" s="119">
        <f t="shared" si="18"/>
        <v>0</v>
      </c>
      <c r="F63" s="119">
        <f t="shared" si="11"/>
        <v>57.646202610000003</v>
      </c>
      <c r="G63" s="119">
        <v>0</v>
      </c>
      <c r="H63" s="119">
        <f t="shared" si="3"/>
        <v>57.646202610000003</v>
      </c>
      <c r="J63" s="119">
        <f>VLOOKUP(A63,'ESAI - Q3 - Base Case'!$A$5:$J$342,10)</f>
        <v>47.113205999999998</v>
      </c>
      <c r="K63" s="119">
        <f t="shared" si="4"/>
        <v>0</v>
      </c>
      <c r="L63" s="119">
        <f t="shared" si="1"/>
        <v>48.526602179999998</v>
      </c>
      <c r="M63" s="119">
        <f t="shared" si="5"/>
        <v>0</v>
      </c>
      <c r="N63" s="119">
        <f t="shared" si="6"/>
        <v>48.526602179999998</v>
      </c>
      <c r="O63" s="119">
        <v>0</v>
      </c>
      <c r="P63" s="119">
        <f t="shared" si="7"/>
        <v>48.526602179999998</v>
      </c>
    </row>
    <row r="64" spans="1:16" x14ac:dyDescent="0.2">
      <c r="A64" s="188">
        <v>44531</v>
      </c>
      <c r="B64" s="119">
        <f>VLOOKUP(A64,'ESAI - Q3 - Base Case'!$A$5:$J$342,9)</f>
        <v>81.504401999999999</v>
      </c>
      <c r="C64" s="119">
        <f t="shared" si="17"/>
        <v>0</v>
      </c>
      <c r="D64" s="119">
        <f t="shared" si="12"/>
        <v>83.949534060000005</v>
      </c>
      <c r="E64" s="119">
        <f t="shared" si="18"/>
        <v>0</v>
      </c>
      <c r="F64" s="119">
        <f t="shared" si="11"/>
        <v>83.949534060000005</v>
      </c>
      <c r="G64" s="119">
        <v>0</v>
      </c>
      <c r="H64" s="119">
        <f t="shared" si="3"/>
        <v>83.949534060000005</v>
      </c>
      <c r="J64" s="119">
        <f>VLOOKUP(A64,'ESAI - Q3 - Base Case'!$A$5:$J$342,10)</f>
        <v>61.369813000000001</v>
      </c>
      <c r="K64" s="119">
        <f t="shared" si="4"/>
        <v>0</v>
      </c>
      <c r="L64" s="119">
        <f t="shared" si="1"/>
        <v>63.210907390000003</v>
      </c>
      <c r="M64" s="119">
        <f t="shared" si="5"/>
        <v>0</v>
      </c>
      <c r="N64" s="119">
        <f t="shared" si="6"/>
        <v>63.210907390000003</v>
      </c>
      <c r="O64" s="119">
        <v>0</v>
      </c>
      <c r="P64" s="119">
        <f t="shared" si="7"/>
        <v>63.210907390000003</v>
      </c>
    </row>
    <row r="65" spans="1:16" x14ac:dyDescent="0.2">
      <c r="A65" s="188">
        <v>44562</v>
      </c>
      <c r="B65" s="119">
        <f>VLOOKUP(A65,'ESAI - Q3 - Base Case'!$A$5:$J$342,9)</f>
        <v>116.145416</v>
      </c>
      <c r="C65" s="119">
        <f>C53*(1+'Firm Purchase Revenue Reqmnt'!$I$71)</f>
        <v>0</v>
      </c>
      <c r="D65" s="119">
        <f t="shared" si="12"/>
        <v>119.62977848</v>
      </c>
      <c r="E65" s="120">
        <f>E53*(1+$E$2)</f>
        <v>0</v>
      </c>
      <c r="F65" s="119">
        <f t="shared" si="11"/>
        <v>119.62977848</v>
      </c>
      <c r="G65" s="120">
        <v>0</v>
      </c>
      <c r="H65" s="119">
        <f t="shared" si="3"/>
        <v>119.62977848</v>
      </c>
      <c r="J65" s="119">
        <f>VLOOKUP(A65,'ESAI - Q3 - Base Case'!$A$5:$J$342,10)</f>
        <v>78.477278999999996</v>
      </c>
      <c r="K65" s="119">
        <f t="shared" si="4"/>
        <v>0</v>
      </c>
      <c r="L65" s="119">
        <f t="shared" si="1"/>
        <v>80.831597369999997</v>
      </c>
      <c r="M65" s="120">
        <f t="shared" si="5"/>
        <v>0</v>
      </c>
      <c r="N65" s="119">
        <f t="shared" si="6"/>
        <v>80.831597369999997</v>
      </c>
      <c r="O65" s="120">
        <v>0</v>
      </c>
      <c r="P65" s="119">
        <f t="shared" si="7"/>
        <v>80.831597369999997</v>
      </c>
    </row>
    <row r="66" spans="1:16" x14ac:dyDescent="0.2">
      <c r="A66" s="188">
        <v>44593</v>
      </c>
      <c r="B66" s="119">
        <f>VLOOKUP(A66,'ESAI - Q3 - Base Case'!$A$5:$J$342,9)</f>
        <v>84.249656000000002</v>
      </c>
      <c r="C66" s="119">
        <f>C65</f>
        <v>0</v>
      </c>
      <c r="D66" s="119">
        <f t="shared" si="12"/>
        <v>86.777145680000004</v>
      </c>
      <c r="E66" s="119">
        <f>E65</f>
        <v>0</v>
      </c>
      <c r="F66" s="119">
        <f t="shared" si="11"/>
        <v>86.777145680000004</v>
      </c>
      <c r="G66" s="119">
        <v>0</v>
      </c>
      <c r="H66" s="119">
        <f t="shared" si="3"/>
        <v>86.777145680000004</v>
      </c>
      <c r="J66" s="119">
        <f>VLOOKUP(A66,'ESAI - Q3 - Base Case'!$A$5:$J$342,10)</f>
        <v>70.643437000000006</v>
      </c>
      <c r="K66" s="119">
        <f t="shared" si="4"/>
        <v>0</v>
      </c>
      <c r="L66" s="119">
        <f t="shared" si="1"/>
        <v>72.76274011000001</v>
      </c>
      <c r="M66" s="119">
        <f t="shared" si="5"/>
        <v>0</v>
      </c>
      <c r="N66" s="119">
        <f t="shared" si="6"/>
        <v>72.76274011000001</v>
      </c>
      <c r="O66" s="119">
        <v>0</v>
      </c>
      <c r="P66" s="119">
        <f t="shared" si="7"/>
        <v>72.76274011000001</v>
      </c>
    </row>
    <row r="67" spans="1:16" x14ac:dyDescent="0.2">
      <c r="A67" s="188">
        <v>44621</v>
      </c>
      <c r="B67" s="119">
        <f>VLOOKUP(A67,'ESAI - Q3 - Base Case'!$A$5:$J$342,9)</f>
        <v>59.302092000000002</v>
      </c>
      <c r="C67" s="119">
        <f t="shared" ref="C67:C76" si="19">C66</f>
        <v>0</v>
      </c>
      <c r="D67" s="119">
        <f t="shared" si="12"/>
        <v>61.081154760000004</v>
      </c>
      <c r="E67" s="119">
        <f t="shared" ref="E67:E76" si="20">E66</f>
        <v>0</v>
      </c>
      <c r="F67" s="119">
        <f t="shared" si="11"/>
        <v>61.081154760000004</v>
      </c>
      <c r="G67" s="119">
        <v>0</v>
      </c>
      <c r="H67" s="119">
        <f t="shared" si="3"/>
        <v>61.081154760000004</v>
      </c>
      <c r="J67" s="119">
        <f>VLOOKUP(A67,'ESAI - Q3 - Base Case'!$A$5:$J$342,10)</f>
        <v>49.705584999999999</v>
      </c>
      <c r="K67" s="119">
        <f t="shared" si="4"/>
        <v>0</v>
      </c>
      <c r="L67" s="119">
        <f t="shared" si="1"/>
        <v>51.196752549999999</v>
      </c>
      <c r="M67" s="119">
        <f t="shared" si="5"/>
        <v>0</v>
      </c>
      <c r="N67" s="119">
        <f t="shared" si="6"/>
        <v>51.196752549999999</v>
      </c>
      <c r="O67" s="119">
        <v>0</v>
      </c>
      <c r="P67" s="119">
        <f t="shared" si="7"/>
        <v>51.196752549999999</v>
      </c>
    </row>
    <row r="68" spans="1:16" x14ac:dyDescent="0.2">
      <c r="A68" s="188">
        <v>44652</v>
      </c>
      <c r="B68" s="119">
        <f>VLOOKUP(A68,'ESAI - Q3 - Base Case'!$A$5:$J$342,9)</f>
        <v>55.441875000000003</v>
      </c>
      <c r="C68" s="119">
        <f t="shared" si="19"/>
        <v>0</v>
      </c>
      <c r="D68" s="119">
        <f t="shared" si="12"/>
        <v>57.105131250000007</v>
      </c>
      <c r="E68" s="119">
        <f t="shared" si="20"/>
        <v>0</v>
      </c>
      <c r="F68" s="119">
        <f t="shared" si="11"/>
        <v>57.105131250000007</v>
      </c>
      <c r="G68" s="119">
        <v>0</v>
      </c>
      <c r="H68" s="119">
        <f t="shared" si="3"/>
        <v>57.105131250000007</v>
      </c>
      <c r="J68" s="119">
        <f>VLOOKUP(A68,'ESAI - Q3 - Base Case'!$A$5:$J$342,10)</f>
        <v>44.584166000000003</v>
      </c>
      <c r="K68" s="119">
        <f t="shared" si="4"/>
        <v>0</v>
      </c>
      <c r="L68" s="119">
        <f t="shared" si="1"/>
        <v>45.921690980000001</v>
      </c>
      <c r="M68" s="119">
        <f t="shared" si="5"/>
        <v>0</v>
      </c>
      <c r="N68" s="119">
        <f t="shared" si="6"/>
        <v>45.921690980000001</v>
      </c>
      <c r="O68" s="119">
        <v>0</v>
      </c>
      <c r="P68" s="119">
        <f t="shared" si="7"/>
        <v>45.921690980000001</v>
      </c>
    </row>
    <row r="69" spans="1:16" x14ac:dyDescent="0.2">
      <c r="A69" s="188">
        <v>44682</v>
      </c>
      <c r="B69" s="119">
        <f>VLOOKUP(A69,'ESAI - Q3 - Base Case'!$A$5:$J$342,9)</f>
        <v>62.652357000000002</v>
      </c>
      <c r="C69" s="119">
        <f t="shared" si="19"/>
        <v>0</v>
      </c>
      <c r="D69" s="119">
        <f t="shared" si="12"/>
        <v>64.531927710000005</v>
      </c>
      <c r="E69" s="119">
        <f t="shared" si="20"/>
        <v>0</v>
      </c>
      <c r="F69" s="119">
        <f t="shared" si="11"/>
        <v>64.531927710000005</v>
      </c>
      <c r="G69" s="119">
        <v>0</v>
      </c>
      <c r="H69" s="119">
        <f t="shared" si="3"/>
        <v>64.531927710000005</v>
      </c>
      <c r="J69" s="119">
        <f>VLOOKUP(A69,'ESAI - Q3 - Base Case'!$A$5:$J$342,10)</f>
        <v>46.198749999999997</v>
      </c>
      <c r="K69" s="119">
        <f t="shared" si="4"/>
        <v>0</v>
      </c>
      <c r="L69" s="119">
        <f t="shared" ref="L69:L132" si="21">SUM(J69:K69)*ForEx</f>
        <v>47.584712499999995</v>
      </c>
      <c r="M69" s="119">
        <f t="shared" si="5"/>
        <v>0</v>
      </c>
      <c r="N69" s="119">
        <f t="shared" si="6"/>
        <v>47.584712499999995</v>
      </c>
      <c r="O69" s="119">
        <v>0</v>
      </c>
      <c r="P69" s="119">
        <f t="shared" si="7"/>
        <v>47.584712499999995</v>
      </c>
    </row>
    <row r="70" spans="1:16" x14ac:dyDescent="0.2">
      <c r="A70" s="188">
        <v>44713</v>
      </c>
      <c r="B70" s="119">
        <f>VLOOKUP(A70,'ESAI - Q3 - Base Case'!$A$5:$J$342,9)</f>
        <v>66.320255000000003</v>
      </c>
      <c r="C70" s="119">
        <f t="shared" si="19"/>
        <v>0</v>
      </c>
      <c r="D70" s="119">
        <f t="shared" si="12"/>
        <v>68.309862649999999</v>
      </c>
      <c r="E70" s="119">
        <f t="shared" si="20"/>
        <v>0</v>
      </c>
      <c r="F70" s="119">
        <f t="shared" si="11"/>
        <v>68.309862649999999</v>
      </c>
      <c r="G70" s="119">
        <v>0</v>
      </c>
      <c r="H70" s="119">
        <f t="shared" ref="H70:H133" si="22">G70+F70</f>
        <v>68.309862649999999</v>
      </c>
      <c r="J70" s="119">
        <f>VLOOKUP(A70,'ESAI - Q3 - Base Case'!$A$5:$J$342,10)</f>
        <v>47.326059000000001</v>
      </c>
      <c r="K70" s="119">
        <f t="shared" ref="K70:K133" si="23">C70</f>
        <v>0</v>
      </c>
      <c r="L70" s="119">
        <f t="shared" si="21"/>
        <v>48.745840770000001</v>
      </c>
      <c r="M70" s="119">
        <f t="shared" ref="M70:M133" si="24">E70</f>
        <v>0</v>
      </c>
      <c r="N70" s="119">
        <f t="shared" ref="N70:N133" si="25">L70-M70</f>
        <v>48.745840770000001</v>
      </c>
      <c r="O70" s="119">
        <v>0</v>
      </c>
      <c r="P70" s="119">
        <f t="shared" ref="P70:P133" si="26">N70-O70</f>
        <v>48.745840770000001</v>
      </c>
    </row>
    <row r="71" spans="1:16" x14ac:dyDescent="0.2">
      <c r="A71" s="188">
        <v>44743</v>
      </c>
      <c r="B71" s="119">
        <f>VLOOKUP(A71,'ESAI - Q3 - Base Case'!$A$5:$J$342,9)</f>
        <v>80.979016999999999</v>
      </c>
      <c r="C71" s="119">
        <f t="shared" si="19"/>
        <v>0</v>
      </c>
      <c r="D71" s="119">
        <f t="shared" si="12"/>
        <v>83.408387509999997</v>
      </c>
      <c r="E71" s="119">
        <f t="shared" si="20"/>
        <v>0</v>
      </c>
      <c r="F71" s="119">
        <f t="shared" si="11"/>
        <v>83.408387509999997</v>
      </c>
      <c r="G71" s="119">
        <v>0</v>
      </c>
      <c r="H71" s="119">
        <f t="shared" si="22"/>
        <v>83.408387509999997</v>
      </c>
      <c r="J71" s="119">
        <f>VLOOKUP(A71,'ESAI - Q3 - Base Case'!$A$5:$J$342,10)</f>
        <v>49.831029000000001</v>
      </c>
      <c r="K71" s="119">
        <f t="shared" si="23"/>
        <v>0</v>
      </c>
      <c r="L71" s="119">
        <f t="shared" si="21"/>
        <v>51.325959870000005</v>
      </c>
      <c r="M71" s="119">
        <f t="shared" si="24"/>
        <v>0</v>
      </c>
      <c r="N71" s="119">
        <f t="shared" si="25"/>
        <v>51.325959870000005</v>
      </c>
      <c r="O71" s="119">
        <v>0</v>
      </c>
      <c r="P71" s="119">
        <f t="shared" si="26"/>
        <v>51.325959870000005</v>
      </c>
    </row>
    <row r="72" spans="1:16" x14ac:dyDescent="0.2">
      <c r="A72" s="188">
        <v>44774</v>
      </c>
      <c r="B72" s="119">
        <f>VLOOKUP(A72,'ESAI - Q3 - Base Case'!$A$5:$J$342,9)</f>
        <v>63.312336000000002</v>
      </c>
      <c r="C72" s="119">
        <f t="shared" si="19"/>
        <v>0</v>
      </c>
      <c r="D72" s="119">
        <f t="shared" si="12"/>
        <v>65.211706079999999</v>
      </c>
      <c r="E72" s="119">
        <f t="shared" si="20"/>
        <v>0</v>
      </c>
      <c r="F72" s="119">
        <f t="shared" si="11"/>
        <v>65.211706079999999</v>
      </c>
      <c r="G72" s="119">
        <v>0</v>
      </c>
      <c r="H72" s="119">
        <f t="shared" si="22"/>
        <v>65.211706079999999</v>
      </c>
      <c r="J72" s="119">
        <f>VLOOKUP(A72,'ESAI - Q3 - Base Case'!$A$5:$J$342,10)</f>
        <v>49.062606000000002</v>
      </c>
      <c r="K72" s="119">
        <f t="shared" si="23"/>
        <v>0</v>
      </c>
      <c r="L72" s="119">
        <f t="shared" si="21"/>
        <v>50.534484180000007</v>
      </c>
      <c r="M72" s="119">
        <f t="shared" si="24"/>
        <v>0</v>
      </c>
      <c r="N72" s="119">
        <f t="shared" si="25"/>
        <v>50.534484180000007</v>
      </c>
      <c r="O72" s="119">
        <v>0</v>
      </c>
      <c r="P72" s="119">
        <f t="shared" si="26"/>
        <v>50.534484180000007</v>
      </c>
    </row>
    <row r="73" spans="1:16" x14ac:dyDescent="0.2">
      <c r="A73" s="188">
        <v>44805</v>
      </c>
      <c r="B73" s="119">
        <f>VLOOKUP(A73,'ESAI - Q3 - Base Case'!$A$5:$J$342,9)</f>
        <v>53.269119000000003</v>
      </c>
      <c r="C73" s="119">
        <f t="shared" si="19"/>
        <v>0</v>
      </c>
      <c r="D73" s="119">
        <f t="shared" si="12"/>
        <v>54.867192570000007</v>
      </c>
      <c r="E73" s="119">
        <f t="shared" si="20"/>
        <v>0</v>
      </c>
      <c r="F73" s="119">
        <f t="shared" si="11"/>
        <v>54.867192570000007</v>
      </c>
      <c r="G73" s="119">
        <v>0</v>
      </c>
      <c r="H73" s="119">
        <f t="shared" si="22"/>
        <v>54.867192570000007</v>
      </c>
      <c r="J73" s="119">
        <f>VLOOKUP(A73,'ESAI - Q3 - Base Case'!$A$5:$J$342,10)</f>
        <v>46.649157000000002</v>
      </c>
      <c r="K73" s="119">
        <f t="shared" si="23"/>
        <v>0</v>
      </c>
      <c r="L73" s="119">
        <f t="shared" si="21"/>
        <v>48.048631710000002</v>
      </c>
      <c r="M73" s="119">
        <f t="shared" si="24"/>
        <v>0</v>
      </c>
      <c r="N73" s="119">
        <f t="shared" si="25"/>
        <v>48.048631710000002</v>
      </c>
      <c r="O73" s="119">
        <v>0</v>
      </c>
      <c r="P73" s="119">
        <f t="shared" si="26"/>
        <v>48.048631710000002</v>
      </c>
    </row>
    <row r="74" spans="1:16" x14ac:dyDescent="0.2">
      <c r="A74" s="188">
        <v>44835</v>
      </c>
      <c r="B74" s="119">
        <f>VLOOKUP(A74,'ESAI - Q3 - Base Case'!$A$5:$J$342,9)</f>
        <v>50.96</v>
      </c>
      <c r="C74" s="119">
        <f t="shared" si="19"/>
        <v>0</v>
      </c>
      <c r="D74" s="119">
        <f t="shared" si="12"/>
        <v>52.488800000000005</v>
      </c>
      <c r="E74" s="119">
        <f t="shared" si="20"/>
        <v>0</v>
      </c>
      <c r="F74" s="119">
        <f t="shared" si="11"/>
        <v>52.488800000000005</v>
      </c>
      <c r="G74" s="119">
        <v>0</v>
      </c>
      <c r="H74" s="119">
        <f t="shared" si="22"/>
        <v>52.488800000000005</v>
      </c>
      <c r="J74" s="119">
        <f>VLOOKUP(A74,'ESAI - Q3 - Base Case'!$A$5:$J$342,10)</f>
        <v>44.585538999999997</v>
      </c>
      <c r="K74" s="119">
        <f t="shared" si="23"/>
        <v>0</v>
      </c>
      <c r="L74" s="119">
        <f t="shared" si="21"/>
        <v>45.923105169999999</v>
      </c>
      <c r="M74" s="119">
        <f t="shared" si="24"/>
        <v>0</v>
      </c>
      <c r="N74" s="119">
        <f t="shared" si="25"/>
        <v>45.923105169999999</v>
      </c>
      <c r="O74" s="119">
        <v>0</v>
      </c>
      <c r="P74" s="119">
        <f t="shared" si="26"/>
        <v>45.923105169999999</v>
      </c>
    </row>
    <row r="75" spans="1:16" x14ac:dyDescent="0.2">
      <c r="A75" s="188">
        <v>44866</v>
      </c>
      <c r="B75" s="119">
        <f>VLOOKUP(A75,'ESAI - Q3 - Base Case'!$A$5:$J$342,9)</f>
        <v>58.550710000000002</v>
      </c>
      <c r="C75" s="119">
        <f t="shared" si="19"/>
        <v>0</v>
      </c>
      <c r="D75" s="119">
        <f t="shared" si="12"/>
        <v>60.307231300000005</v>
      </c>
      <c r="E75" s="119">
        <f t="shared" si="20"/>
        <v>0</v>
      </c>
      <c r="F75" s="119">
        <f t="shared" si="11"/>
        <v>60.307231300000005</v>
      </c>
      <c r="G75" s="119">
        <v>0</v>
      </c>
      <c r="H75" s="119">
        <f t="shared" si="22"/>
        <v>60.307231300000005</v>
      </c>
      <c r="J75" s="119">
        <f>VLOOKUP(A75,'ESAI - Q3 - Base Case'!$A$5:$J$342,10)</f>
        <v>49.116031999999997</v>
      </c>
      <c r="K75" s="119">
        <f t="shared" si="23"/>
        <v>0</v>
      </c>
      <c r="L75" s="119">
        <f t="shared" si="21"/>
        <v>50.58951296</v>
      </c>
      <c r="M75" s="119">
        <f t="shared" si="24"/>
        <v>0</v>
      </c>
      <c r="N75" s="119">
        <f t="shared" si="25"/>
        <v>50.58951296</v>
      </c>
      <c r="O75" s="119">
        <v>0</v>
      </c>
      <c r="P75" s="119">
        <f t="shared" si="26"/>
        <v>50.58951296</v>
      </c>
    </row>
    <row r="76" spans="1:16" x14ac:dyDescent="0.2">
      <c r="A76" s="188">
        <v>44896</v>
      </c>
      <c r="B76" s="119">
        <f>VLOOKUP(A76,'ESAI - Q3 - Base Case'!$A$5:$J$342,9)</f>
        <v>84.546051000000006</v>
      </c>
      <c r="C76" s="119">
        <f t="shared" si="19"/>
        <v>0</v>
      </c>
      <c r="D76" s="119">
        <f t="shared" si="12"/>
        <v>87.082432530000005</v>
      </c>
      <c r="E76" s="119">
        <f t="shared" si="20"/>
        <v>0</v>
      </c>
      <c r="F76" s="119">
        <f t="shared" si="11"/>
        <v>87.082432530000005</v>
      </c>
      <c r="G76" s="119">
        <v>0</v>
      </c>
      <c r="H76" s="119">
        <f t="shared" si="22"/>
        <v>87.082432530000005</v>
      </c>
      <c r="J76" s="119">
        <f>VLOOKUP(A76,'ESAI - Q3 - Base Case'!$A$5:$J$342,10)</f>
        <v>63.971760000000003</v>
      </c>
      <c r="K76" s="119">
        <f t="shared" si="23"/>
        <v>0</v>
      </c>
      <c r="L76" s="119">
        <f t="shared" si="21"/>
        <v>65.890912800000009</v>
      </c>
      <c r="M76" s="119">
        <f t="shared" si="24"/>
        <v>0</v>
      </c>
      <c r="N76" s="119">
        <f t="shared" si="25"/>
        <v>65.890912800000009</v>
      </c>
      <c r="O76" s="119">
        <v>0</v>
      </c>
      <c r="P76" s="119">
        <f t="shared" si="26"/>
        <v>65.890912800000009</v>
      </c>
    </row>
    <row r="77" spans="1:16" x14ac:dyDescent="0.2">
      <c r="A77" s="188">
        <v>44927</v>
      </c>
      <c r="B77" s="119">
        <f>VLOOKUP(A77,'ESAI - Q3 - Base Case'!$A$5:$J$342,9)</f>
        <v>118.46832431999999</v>
      </c>
      <c r="C77" s="119">
        <f>C65*(1+'Firm Purchase Revenue Reqmnt'!$I$71)</f>
        <v>0</v>
      </c>
      <c r="D77" s="119">
        <f t="shared" si="12"/>
        <v>122.0223740496</v>
      </c>
      <c r="E77" s="120">
        <f>E65*(1+$E$2)</f>
        <v>0</v>
      </c>
      <c r="F77" s="119">
        <f t="shared" si="11"/>
        <v>122.0223740496</v>
      </c>
      <c r="G77" s="120">
        <v>0</v>
      </c>
      <c r="H77" s="119">
        <f t="shared" si="22"/>
        <v>122.0223740496</v>
      </c>
      <c r="J77" s="119">
        <f>VLOOKUP(A77,'ESAI - Q3 - Base Case'!$A$5:$J$342,10)</f>
        <v>80.046824579999992</v>
      </c>
      <c r="K77" s="119">
        <f t="shared" si="23"/>
        <v>0</v>
      </c>
      <c r="L77" s="119">
        <f t="shared" si="21"/>
        <v>82.448229317399992</v>
      </c>
      <c r="M77" s="120">
        <f t="shared" si="24"/>
        <v>0</v>
      </c>
      <c r="N77" s="119">
        <f t="shared" si="25"/>
        <v>82.448229317399992</v>
      </c>
      <c r="O77" s="120">
        <v>0</v>
      </c>
      <c r="P77" s="119">
        <f t="shared" si="26"/>
        <v>82.448229317399992</v>
      </c>
    </row>
    <row r="78" spans="1:16" x14ac:dyDescent="0.2">
      <c r="A78" s="188">
        <v>44958</v>
      </c>
      <c r="B78" s="119">
        <f>VLOOKUP(A78,'ESAI - Q3 - Base Case'!$A$5:$J$342,9)</f>
        <v>85.934649120000003</v>
      </c>
      <c r="C78" s="119">
        <f>C77</f>
        <v>0</v>
      </c>
      <c r="D78" s="119">
        <f t="shared" si="12"/>
        <v>88.512688593600004</v>
      </c>
      <c r="E78" s="119">
        <f>E77</f>
        <v>0</v>
      </c>
      <c r="F78" s="119">
        <f t="shared" si="11"/>
        <v>88.512688593600004</v>
      </c>
      <c r="G78" s="119">
        <v>0</v>
      </c>
      <c r="H78" s="119">
        <f t="shared" si="22"/>
        <v>88.512688593600004</v>
      </c>
      <c r="J78" s="119">
        <f>VLOOKUP(A78,'ESAI - Q3 - Base Case'!$A$5:$J$342,10)</f>
        <v>72.056305740000013</v>
      </c>
      <c r="K78" s="119">
        <f t="shared" si="23"/>
        <v>0</v>
      </c>
      <c r="L78" s="119">
        <f t="shared" si="21"/>
        <v>74.217994912200012</v>
      </c>
      <c r="M78" s="119">
        <f t="shared" si="24"/>
        <v>0</v>
      </c>
      <c r="N78" s="119">
        <f t="shared" si="25"/>
        <v>74.217994912200012</v>
      </c>
      <c r="O78" s="119">
        <v>0</v>
      </c>
      <c r="P78" s="119">
        <f t="shared" si="26"/>
        <v>74.217994912200012</v>
      </c>
    </row>
    <row r="79" spans="1:16" x14ac:dyDescent="0.2">
      <c r="A79" s="188">
        <v>44986</v>
      </c>
      <c r="B79" s="119">
        <f>VLOOKUP(A79,'ESAI - Q3 - Base Case'!$A$5:$J$342,9)</f>
        <v>60.488133840000003</v>
      </c>
      <c r="C79" s="119">
        <f t="shared" ref="C79:C88" si="27">C78</f>
        <v>0</v>
      </c>
      <c r="D79" s="119">
        <f t="shared" si="12"/>
        <v>62.302777855200006</v>
      </c>
      <c r="E79" s="119">
        <f t="shared" ref="E79:E88" si="28">E78</f>
        <v>0</v>
      </c>
      <c r="F79" s="119">
        <f t="shared" si="11"/>
        <v>62.302777855200006</v>
      </c>
      <c r="G79" s="119">
        <v>0</v>
      </c>
      <c r="H79" s="119">
        <f t="shared" si="22"/>
        <v>62.302777855200006</v>
      </c>
      <c r="J79" s="119">
        <f>VLOOKUP(A79,'ESAI - Q3 - Base Case'!$A$5:$J$342,10)</f>
        <v>50.699696699999997</v>
      </c>
      <c r="K79" s="119">
        <f t="shared" si="23"/>
        <v>0</v>
      </c>
      <c r="L79" s="119">
        <f t="shared" si="21"/>
        <v>52.220687601000002</v>
      </c>
      <c r="M79" s="119">
        <f t="shared" si="24"/>
        <v>0</v>
      </c>
      <c r="N79" s="119">
        <f t="shared" si="25"/>
        <v>52.220687601000002</v>
      </c>
      <c r="O79" s="119">
        <v>0</v>
      </c>
      <c r="P79" s="119">
        <f t="shared" si="26"/>
        <v>52.220687601000002</v>
      </c>
    </row>
    <row r="80" spans="1:16" x14ac:dyDescent="0.2">
      <c r="A80" s="188">
        <v>45017</v>
      </c>
      <c r="B80" s="119">
        <f>VLOOKUP(A80,'ESAI - Q3 - Base Case'!$A$5:$J$342,9)</f>
        <v>56.550712500000003</v>
      </c>
      <c r="C80" s="119">
        <f t="shared" si="27"/>
        <v>0</v>
      </c>
      <c r="D80" s="119">
        <f t="shared" si="12"/>
        <v>58.247233875000006</v>
      </c>
      <c r="E80" s="119">
        <f t="shared" si="28"/>
        <v>0</v>
      </c>
      <c r="F80" s="119">
        <f t="shared" si="11"/>
        <v>58.247233875000006</v>
      </c>
      <c r="G80" s="119">
        <v>0</v>
      </c>
      <c r="H80" s="119">
        <f t="shared" si="22"/>
        <v>58.247233875000006</v>
      </c>
      <c r="J80" s="119">
        <f>VLOOKUP(A80,'ESAI - Q3 - Base Case'!$A$5:$J$342,10)</f>
        <v>45.475849320000002</v>
      </c>
      <c r="K80" s="119">
        <f t="shared" si="23"/>
        <v>0</v>
      </c>
      <c r="L80" s="119">
        <f t="shared" si="21"/>
        <v>46.840124799600005</v>
      </c>
      <c r="M80" s="119">
        <f t="shared" si="24"/>
        <v>0</v>
      </c>
      <c r="N80" s="119">
        <f t="shared" si="25"/>
        <v>46.840124799600005</v>
      </c>
      <c r="O80" s="119">
        <v>0</v>
      </c>
      <c r="P80" s="119">
        <f t="shared" si="26"/>
        <v>46.840124799600005</v>
      </c>
    </row>
    <row r="81" spans="1:16" x14ac:dyDescent="0.2">
      <c r="A81" s="188">
        <v>45047</v>
      </c>
      <c r="B81" s="119">
        <f>VLOOKUP(A81,'ESAI - Q3 - Base Case'!$A$5:$J$342,9)</f>
        <v>63.905404140000002</v>
      </c>
      <c r="C81" s="119">
        <f t="shared" si="27"/>
        <v>0</v>
      </c>
      <c r="D81" s="119">
        <f t="shared" si="12"/>
        <v>65.822566264200006</v>
      </c>
      <c r="E81" s="119">
        <f t="shared" si="28"/>
        <v>0</v>
      </c>
      <c r="F81" s="119">
        <f t="shared" si="11"/>
        <v>65.822566264200006</v>
      </c>
      <c r="G81" s="119">
        <v>0</v>
      </c>
      <c r="H81" s="119">
        <f t="shared" si="22"/>
        <v>65.822566264200006</v>
      </c>
      <c r="J81" s="119">
        <f>VLOOKUP(A81,'ESAI - Q3 - Base Case'!$A$5:$J$342,10)</f>
        <v>47.122724999999996</v>
      </c>
      <c r="K81" s="119">
        <f t="shared" si="23"/>
        <v>0</v>
      </c>
      <c r="L81" s="119">
        <f t="shared" si="21"/>
        <v>48.536406749999998</v>
      </c>
      <c r="M81" s="119">
        <f t="shared" si="24"/>
        <v>0</v>
      </c>
      <c r="N81" s="119">
        <f t="shared" si="25"/>
        <v>48.536406749999998</v>
      </c>
      <c r="O81" s="119">
        <v>0</v>
      </c>
      <c r="P81" s="119">
        <f t="shared" si="26"/>
        <v>48.536406749999998</v>
      </c>
    </row>
    <row r="82" spans="1:16" x14ac:dyDescent="0.2">
      <c r="A82" s="188">
        <v>45078</v>
      </c>
      <c r="B82" s="119">
        <f>VLOOKUP(A82,'ESAI - Q3 - Base Case'!$A$5:$J$342,9)</f>
        <v>67.646660100000005</v>
      </c>
      <c r="C82" s="119">
        <f t="shared" si="27"/>
        <v>0</v>
      </c>
      <c r="D82" s="119">
        <f t="shared" si="12"/>
        <v>69.676059903000009</v>
      </c>
      <c r="E82" s="119">
        <f t="shared" si="28"/>
        <v>0</v>
      </c>
      <c r="F82" s="119">
        <f t="shared" si="11"/>
        <v>69.676059903000009</v>
      </c>
      <c r="G82" s="119">
        <v>0</v>
      </c>
      <c r="H82" s="119">
        <f t="shared" si="22"/>
        <v>69.676059903000009</v>
      </c>
      <c r="J82" s="119">
        <f>VLOOKUP(A82,'ESAI - Q3 - Base Case'!$A$5:$J$342,10)</f>
        <v>48.272580179999999</v>
      </c>
      <c r="K82" s="119">
        <f t="shared" si="23"/>
        <v>0</v>
      </c>
      <c r="L82" s="119">
        <f t="shared" si="21"/>
        <v>49.720757585400001</v>
      </c>
      <c r="M82" s="119">
        <f t="shared" si="24"/>
        <v>0</v>
      </c>
      <c r="N82" s="119">
        <f t="shared" si="25"/>
        <v>49.720757585400001</v>
      </c>
      <c r="O82" s="119">
        <v>0</v>
      </c>
      <c r="P82" s="119">
        <f t="shared" si="26"/>
        <v>49.720757585400001</v>
      </c>
    </row>
    <row r="83" spans="1:16" x14ac:dyDescent="0.2">
      <c r="A83" s="188">
        <v>45108</v>
      </c>
      <c r="B83" s="119">
        <f>VLOOKUP(A83,'ESAI - Q3 - Base Case'!$A$5:$J$342,9)</f>
        <v>82.598597339999998</v>
      </c>
      <c r="C83" s="119">
        <f t="shared" si="27"/>
        <v>0</v>
      </c>
      <c r="D83" s="119">
        <f t="shared" si="12"/>
        <v>85.076555260199996</v>
      </c>
      <c r="E83" s="119">
        <f t="shared" si="28"/>
        <v>0</v>
      </c>
      <c r="F83" s="119">
        <f t="shared" ref="F83:F146" si="29">D83-E83</f>
        <v>85.076555260199996</v>
      </c>
      <c r="G83" s="119">
        <v>0</v>
      </c>
      <c r="H83" s="119">
        <f t="shared" si="22"/>
        <v>85.076555260199996</v>
      </c>
      <c r="J83" s="119">
        <f>VLOOKUP(A83,'ESAI - Q3 - Base Case'!$A$5:$J$342,10)</f>
        <v>50.827649579999999</v>
      </c>
      <c r="K83" s="119">
        <f t="shared" si="23"/>
        <v>0</v>
      </c>
      <c r="L83" s="119">
        <f t="shared" si="21"/>
        <v>52.352479067399997</v>
      </c>
      <c r="M83" s="119">
        <f t="shared" si="24"/>
        <v>0</v>
      </c>
      <c r="N83" s="119">
        <f t="shared" si="25"/>
        <v>52.352479067399997</v>
      </c>
      <c r="O83" s="119">
        <v>0</v>
      </c>
      <c r="P83" s="119">
        <f t="shared" si="26"/>
        <v>52.352479067399997</v>
      </c>
    </row>
    <row r="84" spans="1:16" x14ac:dyDescent="0.2">
      <c r="A84" s="188">
        <v>45139</v>
      </c>
      <c r="B84" s="119">
        <f>VLOOKUP(A84,'ESAI - Q3 - Base Case'!$A$5:$J$342,9)</f>
        <v>64.57858272</v>
      </c>
      <c r="C84" s="119">
        <f t="shared" si="27"/>
        <v>0</v>
      </c>
      <c r="D84" s="119">
        <f t="shared" ref="D84:D147" si="30">SUM(B84:C84)*ForEx</f>
        <v>66.515940201600003</v>
      </c>
      <c r="E84" s="119">
        <f t="shared" si="28"/>
        <v>0</v>
      </c>
      <c r="F84" s="119">
        <f t="shared" si="29"/>
        <v>66.515940201600003</v>
      </c>
      <c r="G84" s="119">
        <v>0</v>
      </c>
      <c r="H84" s="119">
        <f t="shared" si="22"/>
        <v>66.515940201600003</v>
      </c>
      <c r="J84" s="119">
        <f>VLOOKUP(A84,'ESAI - Q3 - Base Case'!$A$5:$J$342,10)</f>
        <v>50.043858120000003</v>
      </c>
      <c r="K84" s="119">
        <f t="shared" si="23"/>
        <v>0</v>
      </c>
      <c r="L84" s="119">
        <f t="shared" si="21"/>
        <v>51.545173863600006</v>
      </c>
      <c r="M84" s="119">
        <f t="shared" si="24"/>
        <v>0</v>
      </c>
      <c r="N84" s="119">
        <f t="shared" si="25"/>
        <v>51.545173863600006</v>
      </c>
      <c r="O84" s="119">
        <v>0</v>
      </c>
      <c r="P84" s="119">
        <f t="shared" si="26"/>
        <v>51.545173863600006</v>
      </c>
    </row>
    <row r="85" spans="1:16" x14ac:dyDescent="0.2">
      <c r="A85" s="188">
        <v>45170</v>
      </c>
      <c r="B85" s="119">
        <f>VLOOKUP(A85,'ESAI - Q3 - Base Case'!$A$5:$J$342,9)</f>
        <v>54.334501380000006</v>
      </c>
      <c r="C85" s="119">
        <f t="shared" si="27"/>
        <v>0</v>
      </c>
      <c r="D85" s="119">
        <f t="shared" si="30"/>
        <v>55.964536421400005</v>
      </c>
      <c r="E85" s="119">
        <f t="shared" si="28"/>
        <v>0</v>
      </c>
      <c r="F85" s="119">
        <f t="shared" si="29"/>
        <v>55.964536421400005</v>
      </c>
      <c r="G85" s="119">
        <v>0</v>
      </c>
      <c r="H85" s="119">
        <f t="shared" si="22"/>
        <v>55.964536421400005</v>
      </c>
      <c r="J85" s="119">
        <f>VLOOKUP(A85,'ESAI - Q3 - Base Case'!$A$5:$J$342,10)</f>
        <v>47.58214014</v>
      </c>
      <c r="K85" s="119">
        <f t="shared" si="23"/>
        <v>0</v>
      </c>
      <c r="L85" s="119">
        <f t="shared" si="21"/>
        <v>49.0096043442</v>
      </c>
      <c r="M85" s="119">
        <f t="shared" si="24"/>
        <v>0</v>
      </c>
      <c r="N85" s="119">
        <f t="shared" si="25"/>
        <v>49.0096043442</v>
      </c>
      <c r="O85" s="119">
        <v>0</v>
      </c>
      <c r="P85" s="119">
        <f t="shared" si="26"/>
        <v>49.0096043442</v>
      </c>
    </row>
    <row r="86" spans="1:16" x14ac:dyDescent="0.2">
      <c r="A86" s="188">
        <v>45200</v>
      </c>
      <c r="B86" s="119">
        <f>VLOOKUP(A86,'ESAI - Q3 - Base Case'!$A$5:$J$342,9)</f>
        <v>51.979199999999999</v>
      </c>
      <c r="C86" s="119">
        <f t="shared" si="27"/>
        <v>0</v>
      </c>
      <c r="D86" s="119">
        <f t="shared" si="30"/>
        <v>53.538575999999999</v>
      </c>
      <c r="E86" s="119">
        <f t="shared" si="28"/>
        <v>0</v>
      </c>
      <c r="F86" s="119">
        <f t="shared" si="29"/>
        <v>53.538575999999999</v>
      </c>
      <c r="G86" s="119">
        <v>0</v>
      </c>
      <c r="H86" s="119">
        <f t="shared" si="22"/>
        <v>53.538575999999999</v>
      </c>
      <c r="J86" s="119">
        <f>VLOOKUP(A86,'ESAI - Q3 - Base Case'!$A$5:$J$342,10)</f>
        <v>45.477249780000001</v>
      </c>
      <c r="K86" s="119">
        <f t="shared" si="23"/>
        <v>0</v>
      </c>
      <c r="L86" s="119">
        <f t="shared" si="21"/>
        <v>46.841567273400003</v>
      </c>
      <c r="M86" s="119">
        <f t="shared" si="24"/>
        <v>0</v>
      </c>
      <c r="N86" s="119">
        <f t="shared" si="25"/>
        <v>46.841567273400003</v>
      </c>
      <c r="O86" s="119">
        <v>0</v>
      </c>
      <c r="P86" s="119">
        <f t="shared" si="26"/>
        <v>46.841567273400003</v>
      </c>
    </row>
    <row r="87" spans="1:16" x14ac:dyDescent="0.2">
      <c r="A87" s="188">
        <v>45231</v>
      </c>
      <c r="B87" s="119">
        <f>VLOOKUP(A87,'ESAI - Q3 - Base Case'!$A$5:$J$342,9)</f>
        <v>59.721724200000004</v>
      </c>
      <c r="C87" s="119">
        <f t="shared" si="27"/>
        <v>0</v>
      </c>
      <c r="D87" s="119">
        <f t="shared" si="30"/>
        <v>61.513375926000009</v>
      </c>
      <c r="E87" s="119">
        <f t="shared" si="28"/>
        <v>0</v>
      </c>
      <c r="F87" s="119">
        <f t="shared" si="29"/>
        <v>61.513375926000009</v>
      </c>
      <c r="G87" s="119">
        <v>0</v>
      </c>
      <c r="H87" s="119">
        <f t="shared" si="22"/>
        <v>61.513375926000009</v>
      </c>
      <c r="J87" s="119">
        <f>VLOOKUP(A87,'ESAI - Q3 - Base Case'!$A$5:$J$342,10)</f>
        <v>50.098352639999995</v>
      </c>
      <c r="K87" s="119">
        <f t="shared" si="23"/>
        <v>0</v>
      </c>
      <c r="L87" s="119">
        <f t="shared" si="21"/>
        <v>51.601303219199998</v>
      </c>
      <c r="M87" s="119">
        <f t="shared" si="24"/>
        <v>0</v>
      </c>
      <c r="N87" s="119">
        <f t="shared" si="25"/>
        <v>51.601303219199998</v>
      </c>
      <c r="O87" s="119">
        <v>0</v>
      </c>
      <c r="P87" s="119">
        <f t="shared" si="26"/>
        <v>51.601303219199998</v>
      </c>
    </row>
    <row r="88" spans="1:16" x14ac:dyDescent="0.2">
      <c r="A88" s="188">
        <v>45261</v>
      </c>
      <c r="B88" s="119">
        <f>VLOOKUP(A88,'ESAI - Q3 - Base Case'!$A$5:$J$342,9)</f>
        <v>86.23697202000001</v>
      </c>
      <c r="C88" s="119">
        <f t="shared" si="27"/>
        <v>0</v>
      </c>
      <c r="D88" s="119">
        <f t="shared" si="30"/>
        <v>88.824081180600018</v>
      </c>
      <c r="E88" s="119">
        <f t="shared" si="28"/>
        <v>0</v>
      </c>
      <c r="F88" s="119">
        <f t="shared" si="29"/>
        <v>88.824081180600018</v>
      </c>
      <c r="G88" s="119">
        <v>0</v>
      </c>
      <c r="H88" s="119">
        <f t="shared" si="22"/>
        <v>88.824081180600018</v>
      </c>
      <c r="J88" s="119">
        <f>VLOOKUP(A88,'ESAI - Q3 - Base Case'!$A$5:$J$342,10)</f>
        <v>65.251195199999998</v>
      </c>
      <c r="K88" s="119">
        <f t="shared" si="23"/>
        <v>0</v>
      </c>
      <c r="L88" s="119">
        <f t="shared" si="21"/>
        <v>67.208731056000005</v>
      </c>
      <c r="M88" s="119">
        <f t="shared" si="24"/>
        <v>0</v>
      </c>
      <c r="N88" s="119">
        <f t="shared" si="25"/>
        <v>67.208731056000005</v>
      </c>
      <c r="O88" s="119">
        <v>0</v>
      </c>
      <c r="P88" s="119">
        <f t="shared" si="26"/>
        <v>67.208731056000005</v>
      </c>
    </row>
    <row r="89" spans="1:16" x14ac:dyDescent="0.2">
      <c r="A89" s="188">
        <v>45292</v>
      </c>
      <c r="B89" s="119">
        <f>VLOOKUP(A89,'ESAI - Q3 - Base Case'!$A$5:$J$342,9)</f>
        <v>120.83769080639999</v>
      </c>
      <c r="C89" s="119">
        <f>C77*(1+'Firm Purchase Revenue Reqmnt'!$I$71)</f>
        <v>0</v>
      </c>
      <c r="D89" s="119">
        <f t="shared" si="30"/>
        <v>124.462821530592</v>
      </c>
      <c r="E89" s="120">
        <f>E77*(1+$E$2)</f>
        <v>0</v>
      </c>
      <c r="F89" s="119">
        <f t="shared" si="29"/>
        <v>124.462821530592</v>
      </c>
      <c r="G89" s="120">
        <v>0</v>
      </c>
      <c r="H89" s="119">
        <f t="shared" si="22"/>
        <v>124.462821530592</v>
      </c>
      <c r="J89" s="119">
        <f>VLOOKUP(A89,'ESAI - Q3 - Base Case'!$A$5:$J$342,10)</f>
        <v>81.647761071599987</v>
      </c>
      <c r="K89" s="119">
        <f t="shared" si="23"/>
        <v>0</v>
      </c>
      <c r="L89" s="119">
        <f t="shared" si="21"/>
        <v>84.097193903747993</v>
      </c>
      <c r="M89" s="120">
        <f t="shared" si="24"/>
        <v>0</v>
      </c>
      <c r="N89" s="119">
        <f t="shared" si="25"/>
        <v>84.097193903747993</v>
      </c>
      <c r="O89" s="120">
        <v>0</v>
      </c>
      <c r="P89" s="119">
        <f t="shared" si="26"/>
        <v>84.097193903747993</v>
      </c>
    </row>
    <row r="90" spans="1:16" x14ac:dyDescent="0.2">
      <c r="A90" s="188">
        <v>45323</v>
      </c>
      <c r="B90" s="119">
        <f>VLOOKUP(A90,'ESAI - Q3 - Base Case'!$A$5:$J$342,9)</f>
        <v>87.653342102400003</v>
      </c>
      <c r="C90" s="119">
        <f>C89</f>
        <v>0</v>
      </c>
      <c r="D90" s="119">
        <f t="shared" si="30"/>
        <v>90.28294236547201</v>
      </c>
      <c r="E90" s="119">
        <f>E89</f>
        <v>0</v>
      </c>
      <c r="F90" s="119">
        <f t="shared" si="29"/>
        <v>90.28294236547201</v>
      </c>
      <c r="G90" s="119">
        <v>0</v>
      </c>
      <c r="H90" s="119">
        <f t="shared" si="22"/>
        <v>90.28294236547201</v>
      </c>
      <c r="J90" s="119">
        <f>VLOOKUP(A90,'ESAI - Q3 - Base Case'!$A$5:$J$342,10)</f>
        <v>73.497431854800013</v>
      </c>
      <c r="K90" s="119">
        <f t="shared" si="23"/>
        <v>0</v>
      </c>
      <c r="L90" s="119">
        <f t="shared" si="21"/>
        <v>75.702354810444021</v>
      </c>
      <c r="M90" s="119">
        <f t="shared" si="24"/>
        <v>0</v>
      </c>
      <c r="N90" s="119">
        <f t="shared" si="25"/>
        <v>75.702354810444021</v>
      </c>
      <c r="O90" s="119">
        <v>0</v>
      </c>
      <c r="P90" s="119">
        <f t="shared" si="26"/>
        <v>75.702354810444021</v>
      </c>
    </row>
    <row r="91" spans="1:16" x14ac:dyDescent="0.2">
      <c r="A91" s="188">
        <v>45352</v>
      </c>
      <c r="B91" s="119">
        <f>VLOOKUP(A91,'ESAI - Q3 - Base Case'!$A$5:$J$342,9)</f>
        <v>61.697896516800007</v>
      </c>
      <c r="C91" s="119">
        <f t="shared" ref="C91:C100" si="31">C90</f>
        <v>0</v>
      </c>
      <c r="D91" s="119">
        <f t="shared" si="30"/>
        <v>63.548833412304006</v>
      </c>
      <c r="E91" s="119">
        <f t="shared" ref="E91:E100" si="32">E90</f>
        <v>0</v>
      </c>
      <c r="F91" s="119">
        <f t="shared" si="29"/>
        <v>63.548833412304006</v>
      </c>
      <c r="G91" s="119">
        <v>0</v>
      </c>
      <c r="H91" s="119">
        <f t="shared" si="22"/>
        <v>63.548833412304006</v>
      </c>
      <c r="J91" s="119">
        <f>VLOOKUP(A91,'ESAI - Q3 - Base Case'!$A$5:$J$342,10)</f>
        <v>51.713690633999995</v>
      </c>
      <c r="K91" s="119">
        <f t="shared" si="23"/>
        <v>0</v>
      </c>
      <c r="L91" s="119">
        <f t="shared" si="21"/>
        <v>53.265101353019993</v>
      </c>
      <c r="M91" s="119">
        <f t="shared" si="24"/>
        <v>0</v>
      </c>
      <c r="N91" s="119">
        <f t="shared" si="25"/>
        <v>53.265101353019993</v>
      </c>
      <c r="O91" s="119">
        <v>0</v>
      </c>
      <c r="P91" s="119">
        <f t="shared" si="26"/>
        <v>53.265101353019993</v>
      </c>
    </row>
    <row r="92" spans="1:16" x14ac:dyDescent="0.2">
      <c r="A92" s="188">
        <v>45383</v>
      </c>
      <c r="B92" s="119">
        <f>VLOOKUP(A92,'ESAI - Q3 - Base Case'!$A$5:$J$342,9)</f>
        <v>57.681726750000003</v>
      </c>
      <c r="C92" s="119">
        <f t="shared" si="31"/>
        <v>0</v>
      </c>
      <c r="D92" s="119">
        <f t="shared" si="30"/>
        <v>59.412178552500002</v>
      </c>
      <c r="E92" s="119">
        <f t="shared" si="32"/>
        <v>0</v>
      </c>
      <c r="F92" s="119">
        <f t="shared" si="29"/>
        <v>59.412178552500002</v>
      </c>
      <c r="G92" s="119">
        <v>0</v>
      </c>
      <c r="H92" s="119">
        <f t="shared" si="22"/>
        <v>59.412178552500002</v>
      </c>
      <c r="J92" s="119">
        <f>VLOOKUP(A92,'ESAI - Q3 - Base Case'!$A$5:$J$342,10)</f>
        <v>46.385366306400002</v>
      </c>
      <c r="K92" s="119">
        <f t="shared" si="23"/>
        <v>0</v>
      </c>
      <c r="L92" s="119">
        <f t="shared" si="21"/>
        <v>47.776927295592003</v>
      </c>
      <c r="M92" s="119">
        <f t="shared" si="24"/>
        <v>0</v>
      </c>
      <c r="N92" s="119">
        <f t="shared" si="25"/>
        <v>47.776927295592003</v>
      </c>
      <c r="O92" s="119">
        <v>0</v>
      </c>
      <c r="P92" s="119">
        <f t="shared" si="26"/>
        <v>47.776927295592003</v>
      </c>
    </row>
    <row r="93" spans="1:16" x14ac:dyDescent="0.2">
      <c r="A93" s="188">
        <v>45413</v>
      </c>
      <c r="B93" s="119">
        <f>VLOOKUP(A93,'ESAI - Q3 - Base Case'!$A$5:$J$342,9)</f>
        <v>65.183512222800005</v>
      </c>
      <c r="C93" s="119">
        <f t="shared" si="31"/>
        <v>0</v>
      </c>
      <c r="D93" s="119">
        <f t="shared" si="30"/>
        <v>67.139017589484013</v>
      </c>
      <c r="E93" s="119">
        <f t="shared" si="32"/>
        <v>0</v>
      </c>
      <c r="F93" s="119">
        <f t="shared" si="29"/>
        <v>67.139017589484013</v>
      </c>
      <c r="G93" s="119">
        <v>0</v>
      </c>
      <c r="H93" s="119">
        <f t="shared" si="22"/>
        <v>67.139017589484013</v>
      </c>
      <c r="J93" s="119">
        <f>VLOOKUP(A93,'ESAI - Q3 - Base Case'!$A$5:$J$342,10)</f>
        <v>48.065179499999999</v>
      </c>
      <c r="K93" s="119">
        <f t="shared" si="23"/>
        <v>0</v>
      </c>
      <c r="L93" s="119">
        <f t="shared" si="21"/>
        <v>49.507134884999999</v>
      </c>
      <c r="M93" s="119">
        <f t="shared" si="24"/>
        <v>0</v>
      </c>
      <c r="N93" s="119">
        <f t="shared" si="25"/>
        <v>49.507134884999999</v>
      </c>
      <c r="O93" s="119">
        <v>0</v>
      </c>
      <c r="P93" s="119">
        <f t="shared" si="26"/>
        <v>49.507134884999999</v>
      </c>
    </row>
    <row r="94" spans="1:16" x14ac:dyDescent="0.2">
      <c r="A94" s="188">
        <v>45444</v>
      </c>
      <c r="B94" s="119">
        <f>VLOOKUP(A94,'ESAI - Q3 - Base Case'!$A$5:$J$342,9)</f>
        <v>68.999593302000008</v>
      </c>
      <c r="C94" s="119">
        <f t="shared" si="31"/>
        <v>0</v>
      </c>
      <c r="D94" s="119">
        <f t="shared" si="30"/>
        <v>71.06958110106001</v>
      </c>
      <c r="E94" s="119">
        <f t="shared" si="32"/>
        <v>0</v>
      </c>
      <c r="F94" s="119">
        <f t="shared" si="29"/>
        <v>71.06958110106001</v>
      </c>
      <c r="G94" s="119">
        <v>0</v>
      </c>
      <c r="H94" s="119">
        <f t="shared" si="22"/>
        <v>71.06958110106001</v>
      </c>
      <c r="J94" s="119">
        <f>VLOOKUP(A94,'ESAI - Q3 - Base Case'!$A$5:$J$342,10)</f>
        <v>49.2380317836</v>
      </c>
      <c r="K94" s="119">
        <f t="shared" si="23"/>
        <v>0</v>
      </c>
      <c r="L94" s="119">
        <f t="shared" si="21"/>
        <v>50.715172737107999</v>
      </c>
      <c r="M94" s="119">
        <f t="shared" si="24"/>
        <v>0</v>
      </c>
      <c r="N94" s="119">
        <f t="shared" si="25"/>
        <v>50.715172737107999</v>
      </c>
      <c r="O94" s="119">
        <v>0</v>
      </c>
      <c r="P94" s="119">
        <f t="shared" si="26"/>
        <v>50.715172737107999</v>
      </c>
    </row>
    <row r="95" spans="1:16" x14ac:dyDescent="0.2">
      <c r="A95" s="188">
        <v>45474</v>
      </c>
      <c r="B95" s="119">
        <f>VLOOKUP(A95,'ESAI - Q3 - Base Case'!$A$5:$J$342,9)</f>
        <v>84.250569286800001</v>
      </c>
      <c r="C95" s="119">
        <f t="shared" si="31"/>
        <v>0</v>
      </c>
      <c r="D95" s="119">
        <f t="shared" si="30"/>
        <v>86.778086365404008</v>
      </c>
      <c r="E95" s="119">
        <f t="shared" si="32"/>
        <v>0</v>
      </c>
      <c r="F95" s="119">
        <f t="shared" si="29"/>
        <v>86.778086365404008</v>
      </c>
      <c r="G95" s="119">
        <v>0</v>
      </c>
      <c r="H95" s="119">
        <f t="shared" si="22"/>
        <v>86.778086365404008</v>
      </c>
      <c r="J95" s="119">
        <f>VLOOKUP(A95,'ESAI - Q3 - Base Case'!$A$5:$J$342,10)</f>
        <v>51.8442025716</v>
      </c>
      <c r="K95" s="119">
        <f t="shared" si="23"/>
        <v>0</v>
      </c>
      <c r="L95" s="119">
        <f t="shared" si="21"/>
        <v>53.399528648748003</v>
      </c>
      <c r="M95" s="119">
        <f t="shared" si="24"/>
        <v>0</v>
      </c>
      <c r="N95" s="119">
        <f t="shared" si="25"/>
        <v>53.399528648748003</v>
      </c>
      <c r="O95" s="119">
        <v>0</v>
      </c>
      <c r="P95" s="119">
        <f t="shared" si="26"/>
        <v>53.399528648748003</v>
      </c>
    </row>
    <row r="96" spans="1:16" x14ac:dyDescent="0.2">
      <c r="A96" s="188">
        <v>45505</v>
      </c>
      <c r="B96" s="119">
        <f>VLOOKUP(A96,'ESAI - Q3 - Base Case'!$A$5:$J$342,9)</f>
        <v>65.870154374400002</v>
      </c>
      <c r="C96" s="119">
        <f t="shared" si="31"/>
        <v>0</v>
      </c>
      <c r="D96" s="119">
        <f t="shared" si="30"/>
        <v>67.846259005632007</v>
      </c>
      <c r="E96" s="119">
        <f t="shared" si="32"/>
        <v>0</v>
      </c>
      <c r="F96" s="119">
        <f t="shared" si="29"/>
        <v>67.846259005632007</v>
      </c>
      <c r="G96" s="119">
        <v>0</v>
      </c>
      <c r="H96" s="119">
        <f t="shared" si="22"/>
        <v>67.846259005632007</v>
      </c>
      <c r="J96" s="119">
        <f>VLOOKUP(A96,'ESAI - Q3 - Base Case'!$A$5:$J$342,10)</f>
        <v>51.044735282400005</v>
      </c>
      <c r="K96" s="119">
        <f t="shared" si="23"/>
        <v>0</v>
      </c>
      <c r="L96" s="119">
        <f t="shared" si="21"/>
        <v>52.576077340872004</v>
      </c>
      <c r="M96" s="119">
        <f t="shared" si="24"/>
        <v>0</v>
      </c>
      <c r="N96" s="119">
        <f t="shared" si="25"/>
        <v>52.576077340872004</v>
      </c>
      <c r="O96" s="119">
        <v>0</v>
      </c>
      <c r="P96" s="119">
        <f t="shared" si="26"/>
        <v>52.576077340872004</v>
      </c>
    </row>
    <row r="97" spans="1:16" x14ac:dyDescent="0.2">
      <c r="A97" s="188">
        <v>45536</v>
      </c>
      <c r="B97" s="119">
        <f>VLOOKUP(A97,'ESAI - Q3 - Base Case'!$A$5:$J$342,9)</f>
        <v>55.421191407600006</v>
      </c>
      <c r="C97" s="119">
        <f t="shared" si="31"/>
        <v>0</v>
      </c>
      <c r="D97" s="119">
        <f t="shared" si="30"/>
        <v>57.083827149828011</v>
      </c>
      <c r="E97" s="119">
        <f t="shared" si="32"/>
        <v>0</v>
      </c>
      <c r="F97" s="119">
        <f t="shared" si="29"/>
        <v>57.083827149828011</v>
      </c>
      <c r="G97" s="119">
        <v>0</v>
      </c>
      <c r="H97" s="119">
        <f t="shared" si="22"/>
        <v>57.083827149828011</v>
      </c>
      <c r="J97" s="119">
        <f>VLOOKUP(A97,'ESAI - Q3 - Base Case'!$A$5:$J$342,10)</f>
        <v>48.533782942800002</v>
      </c>
      <c r="K97" s="119">
        <f t="shared" si="23"/>
        <v>0</v>
      </c>
      <c r="L97" s="119">
        <f t="shared" si="21"/>
        <v>49.989796431084002</v>
      </c>
      <c r="M97" s="119">
        <f t="shared" si="24"/>
        <v>0</v>
      </c>
      <c r="N97" s="119">
        <f t="shared" si="25"/>
        <v>49.989796431084002</v>
      </c>
      <c r="O97" s="119">
        <v>0</v>
      </c>
      <c r="P97" s="119">
        <f t="shared" si="26"/>
        <v>49.989796431084002</v>
      </c>
    </row>
    <row r="98" spans="1:16" x14ac:dyDescent="0.2">
      <c r="A98" s="188">
        <v>45566</v>
      </c>
      <c r="B98" s="119">
        <f>VLOOKUP(A98,'ESAI - Q3 - Base Case'!$A$5:$J$342,9)</f>
        <v>53.018783999999997</v>
      </c>
      <c r="C98" s="119">
        <f t="shared" si="31"/>
        <v>0</v>
      </c>
      <c r="D98" s="119">
        <f t="shared" si="30"/>
        <v>54.60934752</v>
      </c>
      <c r="E98" s="119">
        <f t="shared" si="32"/>
        <v>0</v>
      </c>
      <c r="F98" s="119">
        <f t="shared" si="29"/>
        <v>54.60934752</v>
      </c>
      <c r="G98" s="119">
        <v>0</v>
      </c>
      <c r="H98" s="119">
        <f t="shared" si="22"/>
        <v>54.60934752</v>
      </c>
      <c r="J98" s="119">
        <f>VLOOKUP(A98,'ESAI - Q3 - Base Case'!$A$5:$J$342,10)</f>
        <v>46.386794775600002</v>
      </c>
      <c r="K98" s="119">
        <f t="shared" si="23"/>
        <v>0</v>
      </c>
      <c r="L98" s="119">
        <f t="shared" si="21"/>
        <v>47.778398618868003</v>
      </c>
      <c r="M98" s="119">
        <f t="shared" si="24"/>
        <v>0</v>
      </c>
      <c r="N98" s="119">
        <f t="shared" si="25"/>
        <v>47.778398618868003</v>
      </c>
      <c r="O98" s="119">
        <v>0</v>
      </c>
      <c r="P98" s="119">
        <f t="shared" si="26"/>
        <v>47.778398618868003</v>
      </c>
    </row>
    <row r="99" spans="1:16" x14ac:dyDescent="0.2">
      <c r="A99" s="188">
        <v>45597</v>
      </c>
      <c r="B99" s="119">
        <f>VLOOKUP(A99,'ESAI - Q3 - Base Case'!$A$5:$J$342,9)</f>
        <v>60.916158684000003</v>
      </c>
      <c r="C99" s="119">
        <f t="shared" si="31"/>
        <v>0</v>
      </c>
      <c r="D99" s="119">
        <f t="shared" si="30"/>
        <v>62.743643444520004</v>
      </c>
      <c r="E99" s="119">
        <f t="shared" si="32"/>
        <v>0</v>
      </c>
      <c r="F99" s="119">
        <f t="shared" si="29"/>
        <v>62.743643444520004</v>
      </c>
      <c r="G99" s="119">
        <v>0</v>
      </c>
      <c r="H99" s="119">
        <f t="shared" si="22"/>
        <v>62.743643444520004</v>
      </c>
      <c r="J99" s="119">
        <f>VLOOKUP(A99,'ESAI - Q3 - Base Case'!$A$5:$J$342,10)</f>
        <v>51.100319692799992</v>
      </c>
      <c r="K99" s="119">
        <f t="shared" si="23"/>
        <v>0</v>
      </c>
      <c r="L99" s="119">
        <f t="shared" si="21"/>
        <v>52.633329283583997</v>
      </c>
      <c r="M99" s="119">
        <f t="shared" si="24"/>
        <v>0</v>
      </c>
      <c r="N99" s="119">
        <f t="shared" si="25"/>
        <v>52.633329283583997</v>
      </c>
      <c r="O99" s="119">
        <v>0</v>
      </c>
      <c r="P99" s="119">
        <f t="shared" si="26"/>
        <v>52.633329283583997</v>
      </c>
    </row>
    <row r="100" spans="1:16" x14ac:dyDescent="0.2">
      <c r="A100" s="188">
        <v>45627</v>
      </c>
      <c r="B100" s="119">
        <f>VLOOKUP(A100,'ESAI - Q3 - Base Case'!$A$5:$J$342,9)</f>
        <v>87.961711460400011</v>
      </c>
      <c r="C100" s="119">
        <f t="shared" si="31"/>
        <v>0</v>
      </c>
      <c r="D100" s="119">
        <f t="shared" si="30"/>
        <v>90.600562804212018</v>
      </c>
      <c r="E100" s="119">
        <f t="shared" si="32"/>
        <v>0</v>
      </c>
      <c r="F100" s="119">
        <f t="shared" si="29"/>
        <v>90.600562804212018</v>
      </c>
      <c r="G100" s="119">
        <v>0</v>
      </c>
      <c r="H100" s="119">
        <f t="shared" si="22"/>
        <v>90.600562804212018</v>
      </c>
      <c r="J100" s="119">
        <f>VLOOKUP(A100,'ESAI - Q3 - Base Case'!$A$5:$J$342,10)</f>
        <v>66.556219103999993</v>
      </c>
      <c r="K100" s="119">
        <f t="shared" si="23"/>
        <v>0</v>
      </c>
      <c r="L100" s="119">
        <f t="shared" si="21"/>
        <v>68.552905677119995</v>
      </c>
      <c r="M100" s="119">
        <f t="shared" si="24"/>
        <v>0</v>
      </c>
      <c r="N100" s="119">
        <f t="shared" si="25"/>
        <v>68.552905677119995</v>
      </c>
      <c r="O100" s="119">
        <v>0</v>
      </c>
      <c r="P100" s="119">
        <f t="shared" si="26"/>
        <v>68.552905677119995</v>
      </c>
    </row>
    <row r="101" spans="1:16" x14ac:dyDescent="0.2">
      <c r="A101" s="188">
        <v>45658</v>
      </c>
      <c r="B101" s="119">
        <f>VLOOKUP(A101,'ESAI - Q3 - Base Case'!$A$5:$J$342,9)</f>
        <v>123.254444622528</v>
      </c>
      <c r="C101" s="119">
        <f>C89*(1+'Firm Purchase Revenue Reqmnt'!$I$71)</f>
        <v>0</v>
      </c>
      <c r="D101" s="119">
        <f t="shared" si="30"/>
        <v>126.95207796120384</v>
      </c>
      <c r="E101" s="120">
        <f>E89*(1+$E$2)</f>
        <v>0</v>
      </c>
      <c r="F101" s="119">
        <f t="shared" si="29"/>
        <v>126.95207796120384</v>
      </c>
      <c r="G101" s="120">
        <v>0</v>
      </c>
      <c r="H101" s="119">
        <f t="shared" si="22"/>
        <v>126.95207796120384</v>
      </c>
      <c r="J101" s="119">
        <f>VLOOKUP(A101,'ESAI - Q3 - Base Case'!$A$5:$J$342,10)</f>
        <v>83.280716293031986</v>
      </c>
      <c r="K101" s="119">
        <f t="shared" si="23"/>
        <v>0</v>
      </c>
      <c r="L101" s="119">
        <f t="shared" si="21"/>
        <v>85.779137781822953</v>
      </c>
      <c r="M101" s="120">
        <f t="shared" si="24"/>
        <v>0</v>
      </c>
      <c r="N101" s="119">
        <f t="shared" si="25"/>
        <v>85.779137781822953</v>
      </c>
      <c r="O101" s="120">
        <v>0</v>
      </c>
      <c r="P101" s="119">
        <f t="shared" si="26"/>
        <v>85.779137781822953</v>
      </c>
    </row>
    <row r="102" spans="1:16" x14ac:dyDescent="0.2">
      <c r="A102" s="188">
        <v>45689</v>
      </c>
      <c r="B102" s="119">
        <f>VLOOKUP(A102,'ESAI - Q3 - Base Case'!$A$5:$J$342,9)</f>
        <v>89.406408944448003</v>
      </c>
      <c r="C102" s="119">
        <f>C101</f>
        <v>0</v>
      </c>
      <c r="D102" s="119">
        <f t="shared" si="30"/>
        <v>92.088601212781441</v>
      </c>
      <c r="E102" s="119">
        <f>E101</f>
        <v>0</v>
      </c>
      <c r="F102" s="119">
        <f t="shared" si="29"/>
        <v>92.088601212781441</v>
      </c>
      <c r="G102" s="119">
        <v>0</v>
      </c>
      <c r="H102" s="119">
        <f t="shared" si="22"/>
        <v>92.088601212781441</v>
      </c>
      <c r="J102" s="119">
        <f>VLOOKUP(A102,'ESAI - Q3 - Base Case'!$A$5:$J$342,10)</f>
        <v>74.967380491896009</v>
      </c>
      <c r="K102" s="119">
        <f t="shared" si="23"/>
        <v>0</v>
      </c>
      <c r="L102" s="119">
        <f t="shared" si="21"/>
        <v>77.216401906652891</v>
      </c>
      <c r="M102" s="119">
        <f t="shared" si="24"/>
        <v>0</v>
      </c>
      <c r="N102" s="119">
        <f t="shared" si="25"/>
        <v>77.216401906652891</v>
      </c>
      <c r="O102" s="119">
        <v>0</v>
      </c>
      <c r="P102" s="119">
        <f t="shared" si="26"/>
        <v>77.216401906652891</v>
      </c>
    </row>
    <row r="103" spans="1:16" x14ac:dyDescent="0.2">
      <c r="A103" s="188">
        <v>45717</v>
      </c>
      <c r="B103" s="119">
        <f>VLOOKUP(A103,'ESAI - Q3 - Base Case'!$A$5:$J$342,9)</f>
        <v>62.931854447136011</v>
      </c>
      <c r="C103" s="119">
        <f t="shared" ref="C103:C112" si="33">C102</f>
        <v>0</v>
      </c>
      <c r="D103" s="119">
        <f t="shared" si="30"/>
        <v>64.819810080550099</v>
      </c>
      <c r="E103" s="119">
        <f t="shared" ref="E103:E112" si="34">E102</f>
        <v>0</v>
      </c>
      <c r="F103" s="119">
        <f t="shared" si="29"/>
        <v>64.819810080550099</v>
      </c>
      <c r="G103" s="119">
        <v>0</v>
      </c>
      <c r="H103" s="119">
        <f t="shared" si="22"/>
        <v>64.819810080550099</v>
      </c>
      <c r="J103" s="119">
        <f>VLOOKUP(A103,'ESAI - Q3 - Base Case'!$A$5:$J$342,10)</f>
        <v>52.747964446679994</v>
      </c>
      <c r="K103" s="119">
        <f t="shared" si="23"/>
        <v>0</v>
      </c>
      <c r="L103" s="119">
        <f t="shared" si="21"/>
        <v>54.330403380080398</v>
      </c>
      <c r="M103" s="119">
        <f t="shared" si="24"/>
        <v>0</v>
      </c>
      <c r="N103" s="119">
        <f t="shared" si="25"/>
        <v>54.330403380080398</v>
      </c>
      <c r="O103" s="119">
        <v>0</v>
      </c>
      <c r="P103" s="119">
        <f t="shared" si="26"/>
        <v>54.330403380080398</v>
      </c>
    </row>
    <row r="104" spans="1:16" x14ac:dyDescent="0.2">
      <c r="A104" s="188">
        <v>45748</v>
      </c>
      <c r="B104" s="119">
        <f>VLOOKUP(A104,'ESAI - Q3 - Base Case'!$A$5:$J$342,9)</f>
        <v>58.835361285000005</v>
      </c>
      <c r="C104" s="119">
        <f t="shared" si="33"/>
        <v>0</v>
      </c>
      <c r="D104" s="119">
        <f t="shared" si="30"/>
        <v>60.600422123550004</v>
      </c>
      <c r="E104" s="119">
        <f t="shared" si="34"/>
        <v>0</v>
      </c>
      <c r="F104" s="119">
        <f t="shared" si="29"/>
        <v>60.600422123550004</v>
      </c>
      <c r="G104" s="119">
        <v>0</v>
      </c>
      <c r="H104" s="119">
        <f t="shared" si="22"/>
        <v>60.600422123550004</v>
      </c>
      <c r="J104" s="119">
        <f>VLOOKUP(A104,'ESAI - Q3 - Base Case'!$A$5:$J$342,10)</f>
        <v>47.313073632528003</v>
      </c>
      <c r="K104" s="119">
        <f t="shared" si="23"/>
        <v>0</v>
      </c>
      <c r="L104" s="119">
        <f t="shared" si="21"/>
        <v>48.732465841503846</v>
      </c>
      <c r="M104" s="119">
        <f t="shared" si="24"/>
        <v>0</v>
      </c>
      <c r="N104" s="119">
        <f t="shared" si="25"/>
        <v>48.732465841503846</v>
      </c>
      <c r="O104" s="119">
        <v>0</v>
      </c>
      <c r="P104" s="119">
        <f t="shared" si="26"/>
        <v>48.732465841503846</v>
      </c>
    </row>
    <row r="105" spans="1:16" x14ac:dyDescent="0.2">
      <c r="A105" s="188">
        <v>45778</v>
      </c>
      <c r="B105" s="119">
        <f>VLOOKUP(A105,'ESAI - Q3 - Base Case'!$A$5:$J$342,9)</f>
        <v>66.487182467256005</v>
      </c>
      <c r="C105" s="119">
        <f t="shared" si="33"/>
        <v>0</v>
      </c>
      <c r="D105" s="119">
        <f t="shared" si="30"/>
        <v>68.481797941273683</v>
      </c>
      <c r="E105" s="119">
        <f t="shared" si="34"/>
        <v>0</v>
      </c>
      <c r="F105" s="119">
        <f t="shared" si="29"/>
        <v>68.481797941273683</v>
      </c>
      <c r="G105" s="119">
        <v>0</v>
      </c>
      <c r="H105" s="119">
        <f t="shared" si="22"/>
        <v>68.481797941273683</v>
      </c>
      <c r="J105" s="119">
        <f>VLOOKUP(A105,'ESAI - Q3 - Base Case'!$A$5:$J$342,10)</f>
        <v>49.026483089999999</v>
      </c>
      <c r="K105" s="119">
        <f t="shared" si="23"/>
        <v>0</v>
      </c>
      <c r="L105" s="119">
        <f t="shared" si="21"/>
        <v>50.497277582700001</v>
      </c>
      <c r="M105" s="119">
        <f t="shared" si="24"/>
        <v>0</v>
      </c>
      <c r="N105" s="119">
        <f t="shared" si="25"/>
        <v>50.497277582700001</v>
      </c>
      <c r="O105" s="119">
        <v>0</v>
      </c>
      <c r="P105" s="119">
        <f t="shared" si="26"/>
        <v>50.497277582700001</v>
      </c>
    </row>
    <row r="106" spans="1:16" x14ac:dyDescent="0.2">
      <c r="A106" s="188">
        <v>45809</v>
      </c>
      <c r="B106" s="119">
        <f>VLOOKUP(A106,'ESAI - Q3 - Base Case'!$A$5:$J$342,9)</f>
        <v>70.379585168040009</v>
      </c>
      <c r="C106" s="119">
        <f t="shared" si="33"/>
        <v>0</v>
      </c>
      <c r="D106" s="119">
        <f t="shared" si="30"/>
        <v>72.490972723081214</v>
      </c>
      <c r="E106" s="119">
        <f t="shared" si="34"/>
        <v>0</v>
      </c>
      <c r="F106" s="119">
        <f t="shared" si="29"/>
        <v>72.490972723081214</v>
      </c>
      <c r="G106" s="119">
        <v>0</v>
      </c>
      <c r="H106" s="119">
        <f t="shared" si="22"/>
        <v>72.490972723081214</v>
      </c>
      <c r="J106" s="119">
        <f>VLOOKUP(A106,'ESAI - Q3 - Base Case'!$A$5:$J$342,10)</f>
        <v>50.222792419272004</v>
      </c>
      <c r="K106" s="119">
        <f t="shared" si="23"/>
        <v>0</v>
      </c>
      <c r="L106" s="119">
        <f t="shared" si="21"/>
        <v>51.729476191850168</v>
      </c>
      <c r="M106" s="119">
        <f t="shared" si="24"/>
        <v>0</v>
      </c>
      <c r="N106" s="119">
        <f t="shared" si="25"/>
        <v>51.729476191850168</v>
      </c>
      <c r="O106" s="119">
        <v>0</v>
      </c>
      <c r="P106" s="119">
        <f t="shared" si="26"/>
        <v>51.729476191850168</v>
      </c>
    </row>
    <row r="107" spans="1:16" x14ac:dyDescent="0.2">
      <c r="A107" s="188">
        <v>45839</v>
      </c>
      <c r="B107" s="119">
        <f>VLOOKUP(A107,'ESAI - Q3 - Base Case'!$A$5:$J$342,9)</f>
        <v>85.935580672536005</v>
      </c>
      <c r="C107" s="119">
        <f t="shared" si="33"/>
        <v>0</v>
      </c>
      <c r="D107" s="119">
        <f t="shared" si="30"/>
        <v>88.513648092712089</v>
      </c>
      <c r="E107" s="119">
        <f t="shared" si="34"/>
        <v>0</v>
      </c>
      <c r="F107" s="119">
        <f t="shared" si="29"/>
        <v>88.513648092712089</v>
      </c>
      <c r="G107" s="119">
        <v>0</v>
      </c>
      <c r="H107" s="119">
        <f t="shared" si="22"/>
        <v>88.513648092712089</v>
      </c>
      <c r="J107" s="119">
        <f>VLOOKUP(A107,'ESAI - Q3 - Base Case'!$A$5:$J$342,10)</f>
        <v>52.881086623032004</v>
      </c>
      <c r="K107" s="119">
        <f t="shared" si="23"/>
        <v>0</v>
      </c>
      <c r="L107" s="119">
        <f t="shared" si="21"/>
        <v>54.467519221722966</v>
      </c>
      <c r="M107" s="119">
        <f t="shared" si="24"/>
        <v>0</v>
      </c>
      <c r="N107" s="119">
        <f t="shared" si="25"/>
        <v>54.467519221722966</v>
      </c>
      <c r="O107" s="119">
        <v>0</v>
      </c>
      <c r="P107" s="119">
        <f t="shared" si="26"/>
        <v>54.467519221722966</v>
      </c>
    </row>
    <row r="108" spans="1:16" x14ac:dyDescent="0.2">
      <c r="A108" s="188">
        <v>45870</v>
      </c>
      <c r="B108" s="119">
        <f>VLOOKUP(A108,'ESAI - Q3 - Base Case'!$A$5:$J$342,9)</f>
        <v>67.187557461888005</v>
      </c>
      <c r="C108" s="119">
        <f t="shared" si="33"/>
        <v>0</v>
      </c>
      <c r="D108" s="119">
        <f t="shared" si="30"/>
        <v>69.203184185744647</v>
      </c>
      <c r="E108" s="119">
        <f t="shared" si="34"/>
        <v>0</v>
      </c>
      <c r="F108" s="119">
        <f t="shared" si="29"/>
        <v>69.203184185744647</v>
      </c>
      <c r="G108" s="119">
        <v>0</v>
      </c>
      <c r="H108" s="119">
        <f t="shared" si="22"/>
        <v>69.203184185744647</v>
      </c>
      <c r="J108" s="119">
        <f>VLOOKUP(A108,'ESAI - Q3 - Base Case'!$A$5:$J$342,10)</f>
        <v>52.065629988048009</v>
      </c>
      <c r="K108" s="119">
        <f t="shared" si="23"/>
        <v>0</v>
      </c>
      <c r="L108" s="119">
        <f t="shared" si="21"/>
        <v>53.627598887689452</v>
      </c>
      <c r="M108" s="119">
        <f t="shared" si="24"/>
        <v>0</v>
      </c>
      <c r="N108" s="119">
        <f t="shared" si="25"/>
        <v>53.627598887689452</v>
      </c>
      <c r="O108" s="119">
        <v>0</v>
      </c>
      <c r="P108" s="119">
        <f t="shared" si="26"/>
        <v>53.627598887689452</v>
      </c>
    </row>
    <row r="109" spans="1:16" x14ac:dyDescent="0.2">
      <c r="A109" s="188">
        <v>45901</v>
      </c>
      <c r="B109" s="119">
        <f>VLOOKUP(A109,'ESAI - Q3 - Base Case'!$A$5:$J$342,9)</f>
        <v>56.529615235752004</v>
      </c>
      <c r="C109" s="119">
        <f t="shared" si="33"/>
        <v>0</v>
      </c>
      <c r="D109" s="119">
        <f t="shared" si="30"/>
        <v>58.225503692824567</v>
      </c>
      <c r="E109" s="119">
        <f t="shared" si="34"/>
        <v>0</v>
      </c>
      <c r="F109" s="119">
        <f t="shared" si="29"/>
        <v>58.225503692824567</v>
      </c>
      <c r="G109" s="119">
        <v>0</v>
      </c>
      <c r="H109" s="119">
        <f t="shared" si="22"/>
        <v>58.225503692824567</v>
      </c>
      <c r="J109" s="119">
        <f>VLOOKUP(A109,'ESAI - Q3 - Base Case'!$A$5:$J$342,10)</f>
        <v>49.504458601656005</v>
      </c>
      <c r="K109" s="119">
        <f t="shared" si="23"/>
        <v>0</v>
      </c>
      <c r="L109" s="119">
        <f t="shared" si="21"/>
        <v>50.989592359705689</v>
      </c>
      <c r="M109" s="119">
        <f t="shared" si="24"/>
        <v>0</v>
      </c>
      <c r="N109" s="119">
        <f t="shared" si="25"/>
        <v>50.989592359705689</v>
      </c>
      <c r="O109" s="119">
        <v>0</v>
      </c>
      <c r="P109" s="119">
        <f t="shared" si="26"/>
        <v>50.989592359705689</v>
      </c>
    </row>
    <row r="110" spans="1:16" x14ac:dyDescent="0.2">
      <c r="A110" s="188">
        <v>45931</v>
      </c>
      <c r="B110" s="119">
        <f>VLOOKUP(A110,'ESAI - Q3 - Base Case'!$A$5:$J$342,9)</f>
        <v>54.079159679999997</v>
      </c>
      <c r="C110" s="119">
        <f t="shared" si="33"/>
        <v>0</v>
      </c>
      <c r="D110" s="119">
        <f t="shared" si="30"/>
        <v>55.701534470399999</v>
      </c>
      <c r="E110" s="119">
        <f t="shared" si="34"/>
        <v>0</v>
      </c>
      <c r="F110" s="119">
        <f t="shared" si="29"/>
        <v>55.701534470399999</v>
      </c>
      <c r="G110" s="119">
        <v>0</v>
      </c>
      <c r="H110" s="119">
        <f t="shared" si="22"/>
        <v>55.701534470399999</v>
      </c>
      <c r="J110" s="119">
        <f>VLOOKUP(A110,'ESAI - Q3 - Base Case'!$A$5:$J$342,10)</f>
        <v>47.314530671112003</v>
      </c>
      <c r="K110" s="119">
        <f t="shared" si="23"/>
        <v>0</v>
      </c>
      <c r="L110" s="119">
        <f t="shared" si="21"/>
        <v>48.733966591245363</v>
      </c>
      <c r="M110" s="119">
        <f t="shared" si="24"/>
        <v>0</v>
      </c>
      <c r="N110" s="119">
        <f t="shared" si="25"/>
        <v>48.733966591245363</v>
      </c>
      <c r="O110" s="119">
        <v>0</v>
      </c>
      <c r="P110" s="119">
        <f t="shared" si="26"/>
        <v>48.733966591245363</v>
      </c>
    </row>
    <row r="111" spans="1:16" x14ac:dyDescent="0.2">
      <c r="A111" s="188">
        <v>45962</v>
      </c>
      <c r="B111" s="119">
        <f>VLOOKUP(A111,'ESAI - Q3 - Base Case'!$A$5:$J$342,9)</f>
        <v>62.134481857680001</v>
      </c>
      <c r="C111" s="119">
        <f t="shared" si="33"/>
        <v>0</v>
      </c>
      <c r="D111" s="119">
        <f t="shared" si="30"/>
        <v>63.998516313410406</v>
      </c>
      <c r="E111" s="119">
        <f t="shared" si="34"/>
        <v>0</v>
      </c>
      <c r="F111" s="119">
        <f t="shared" si="29"/>
        <v>63.998516313410406</v>
      </c>
      <c r="G111" s="119">
        <v>0</v>
      </c>
      <c r="H111" s="119">
        <f t="shared" si="22"/>
        <v>63.998516313410406</v>
      </c>
      <c r="J111" s="119">
        <f>VLOOKUP(A111,'ESAI - Q3 - Base Case'!$A$5:$J$342,10)</f>
        <v>52.122326086655995</v>
      </c>
      <c r="K111" s="119">
        <f t="shared" si="23"/>
        <v>0</v>
      </c>
      <c r="L111" s="119">
        <f t="shared" si="21"/>
        <v>53.685995869255677</v>
      </c>
      <c r="M111" s="119">
        <f t="shared" si="24"/>
        <v>0</v>
      </c>
      <c r="N111" s="119">
        <f t="shared" si="25"/>
        <v>53.685995869255677</v>
      </c>
      <c r="O111" s="119">
        <v>0</v>
      </c>
      <c r="P111" s="119">
        <f t="shared" si="26"/>
        <v>53.685995869255677</v>
      </c>
    </row>
    <row r="112" spans="1:16" x14ac:dyDescent="0.2">
      <c r="A112" s="188">
        <v>45992</v>
      </c>
      <c r="B112" s="119">
        <f>VLOOKUP(A112,'ESAI - Q3 - Base Case'!$A$5:$J$342,9)</f>
        <v>89.720945689608016</v>
      </c>
      <c r="C112" s="119">
        <f t="shared" si="33"/>
        <v>0</v>
      </c>
      <c r="D112" s="119">
        <f t="shared" si="30"/>
        <v>92.412574060296265</v>
      </c>
      <c r="E112" s="119">
        <f t="shared" si="34"/>
        <v>0</v>
      </c>
      <c r="F112" s="119">
        <f t="shared" si="29"/>
        <v>92.412574060296265</v>
      </c>
      <c r="G112" s="119">
        <v>0</v>
      </c>
      <c r="H112" s="119">
        <f t="shared" si="22"/>
        <v>92.412574060296265</v>
      </c>
      <c r="J112" s="119">
        <f>VLOOKUP(A112,'ESAI - Q3 - Base Case'!$A$5:$J$342,10)</f>
        <v>67.887343486079999</v>
      </c>
      <c r="K112" s="119">
        <f t="shared" si="23"/>
        <v>0</v>
      </c>
      <c r="L112" s="119">
        <f t="shared" si="21"/>
        <v>69.923963790662398</v>
      </c>
      <c r="M112" s="119">
        <f t="shared" si="24"/>
        <v>0</v>
      </c>
      <c r="N112" s="119">
        <f t="shared" si="25"/>
        <v>69.923963790662398</v>
      </c>
      <c r="O112" s="119">
        <v>0</v>
      </c>
      <c r="P112" s="119">
        <f t="shared" si="26"/>
        <v>69.923963790662398</v>
      </c>
    </row>
    <row r="113" spans="1:16" x14ac:dyDescent="0.2">
      <c r="A113" s="188">
        <v>46023</v>
      </c>
      <c r="B113" s="119">
        <f>VLOOKUP(A113,'ESAI - Q3 - Base Case'!$A$5:$J$342,9)</f>
        <v>125.71953351497856</v>
      </c>
      <c r="C113" s="119">
        <f>C101*(1+'Firm Purchase Revenue Reqmnt'!$I$71)</f>
        <v>0</v>
      </c>
      <c r="D113" s="119">
        <f t="shared" si="30"/>
        <v>129.49111952042793</v>
      </c>
      <c r="E113" s="120">
        <f>E101*(1+$E$2)</f>
        <v>0</v>
      </c>
      <c r="F113" s="119">
        <f t="shared" si="29"/>
        <v>129.49111952042793</v>
      </c>
      <c r="G113" s="120">
        <v>0</v>
      </c>
      <c r="H113" s="119">
        <f t="shared" si="22"/>
        <v>129.49111952042793</v>
      </c>
      <c r="J113" s="119">
        <f>VLOOKUP(A113,'ESAI - Q3 - Base Case'!$A$5:$J$342,10)</f>
        <v>84.946330618892631</v>
      </c>
      <c r="K113" s="119">
        <f t="shared" si="23"/>
        <v>0</v>
      </c>
      <c r="L113" s="119">
        <f t="shared" si="21"/>
        <v>87.494720537459415</v>
      </c>
      <c r="M113" s="120">
        <f t="shared" si="24"/>
        <v>0</v>
      </c>
      <c r="N113" s="119">
        <f t="shared" si="25"/>
        <v>87.494720537459415</v>
      </c>
      <c r="O113" s="120">
        <v>0</v>
      </c>
      <c r="P113" s="119">
        <f t="shared" si="26"/>
        <v>87.494720537459415</v>
      </c>
    </row>
    <row r="114" spans="1:16" x14ac:dyDescent="0.2">
      <c r="A114" s="188">
        <v>46054</v>
      </c>
      <c r="B114" s="119">
        <f>VLOOKUP(A114,'ESAI - Q3 - Base Case'!$A$5:$J$342,9)</f>
        <v>91.194537123336971</v>
      </c>
      <c r="C114" s="119">
        <f>C113</f>
        <v>0</v>
      </c>
      <c r="D114" s="119">
        <f t="shared" si="30"/>
        <v>93.930373237037088</v>
      </c>
      <c r="E114" s="119">
        <f>E113</f>
        <v>0</v>
      </c>
      <c r="F114" s="119">
        <f t="shared" si="29"/>
        <v>93.930373237037088</v>
      </c>
      <c r="G114" s="119">
        <v>0</v>
      </c>
      <c r="H114" s="119">
        <f t="shared" si="22"/>
        <v>93.930373237037088</v>
      </c>
      <c r="J114" s="119">
        <f>VLOOKUP(A114,'ESAI - Q3 - Base Case'!$A$5:$J$342,10)</f>
        <v>76.466728101733935</v>
      </c>
      <c r="K114" s="119">
        <f t="shared" si="23"/>
        <v>0</v>
      </c>
      <c r="L114" s="119">
        <f t="shared" si="21"/>
        <v>78.76072994478595</v>
      </c>
      <c r="M114" s="119">
        <f t="shared" si="24"/>
        <v>0</v>
      </c>
      <c r="N114" s="119">
        <f t="shared" si="25"/>
        <v>78.76072994478595</v>
      </c>
      <c r="O114" s="119">
        <v>0</v>
      </c>
      <c r="P114" s="119">
        <f t="shared" si="26"/>
        <v>78.76072994478595</v>
      </c>
    </row>
    <row r="115" spans="1:16" x14ac:dyDescent="0.2">
      <c r="A115" s="188">
        <v>46082</v>
      </c>
      <c r="B115" s="119">
        <f>VLOOKUP(A115,'ESAI - Q3 - Base Case'!$A$5:$J$342,9)</f>
        <v>64.190491536078738</v>
      </c>
      <c r="C115" s="119">
        <f t="shared" ref="C115:C124" si="35">C114</f>
        <v>0</v>
      </c>
      <c r="D115" s="119">
        <f t="shared" si="30"/>
        <v>66.116206282161102</v>
      </c>
      <c r="E115" s="119">
        <f t="shared" ref="E115:E124" si="36">E114</f>
        <v>0</v>
      </c>
      <c r="F115" s="119">
        <f t="shared" si="29"/>
        <v>66.116206282161102</v>
      </c>
      <c r="G115" s="119">
        <v>0</v>
      </c>
      <c r="H115" s="119">
        <f t="shared" si="22"/>
        <v>66.116206282161102</v>
      </c>
      <c r="J115" s="119">
        <f>VLOOKUP(A115,'ESAI - Q3 - Base Case'!$A$5:$J$342,10)</f>
        <v>53.802923735613597</v>
      </c>
      <c r="K115" s="119">
        <f t="shared" si="23"/>
        <v>0</v>
      </c>
      <c r="L115" s="119">
        <f t="shared" si="21"/>
        <v>55.417011447682007</v>
      </c>
      <c r="M115" s="119">
        <f t="shared" si="24"/>
        <v>0</v>
      </c>
      <c r="N115" s="119">
        <f t="shared" si="25"/>
        <v>55.417011447682007</v>
      </c>
      <c r="O115" s="119">
        <v>0</v>
      </c>
      <c r="P115" s="119">
        <f t="shared" si="26"/>
        <v>55.417011447682007</v>
      </c>
    </row>
    <row r="116" spans="1:16" x14ac:dyDescent="0.2">
      <c r="A116" s="188">
        <v>46113</v>
      </c>
      <c r="B116" s="119">
        <f>VLOOKUP(A116,'ESAI - Q3 - Base Case'!$A$5:$J$342,9)</f>
        <v>60.012068510700004</v>
      </c>
      <c r="C116" s="119">
        <f t="shared" si="35"/>
        <v>0</v>
      </c>
      <c r="D116" s="119">
        <f t="shared" si="30"/>
        <v>61.812430566021007</v>
      </c>
      <c r="E116" s="119">
        <f t="shared" si="36"/>
        <v>0</v>
      </c>
      <c r="F116" s="119">
        <f t="shared" si="29"/>
        <v>61.812430566021007</v>
      </c>
      <c r="G116" s="119">
        <v>0</v>
      </c>
      <c r="H116" s="119">
        <f t="shared" si="22"/>
        <v>61.812430566021007</v>
      </c>
      <c r="J116" s="119">
        <f>VLOOKUP(A116,'ESAI - Q3 - Base Case'!$A$5:$J$342,10)</f>
        <v>48.259335105178565</v>
      </c>
      <c r="K116" s="119">
        <f t="shared" si="23"/>
        <v>0</v>
      </c>
      <c r="L116" s="119">
        <f t="shared" si="21"/>
        <v>49.70711515833392</v>
      </c>
      <c r="M116" s="119">
        <f t="shared" si="24"/>
        <v>0</v>
      </c>
      <c r="N116" s="119">
        <f t="shared" si="25"/>
        <v>49.70711515833392</v>
      </c>
      <c r="O116" s="119">
        <v>0</v>
      </c>
      <c r="P116" s="119">
        <f t="shared" si="26"/>
        <v>49.70711515833392</v>
      </c>
    </row>
    <row r="117" spans="1:16" x14ac:dyDescent="0.2">
      <c r="A117" s="188">
        <v>46143</v>
      </c>
      <c r="B117" s="119">
        <f>VLOOKUP(A117,'ESAI - Q3 - Base Case'!$A$5:$J$342,9)</f>
        <v>67.816926116601124</v>
      </c>
      <c r="C117" s="119">
        <f t="shared" si="35"/>
        <v>0</v>
      </c>
      <c r="D117" s="119">
        <f t="shared" si="30"/>
        <v>69.851433900099153</v>
      </c>
      <c r="E117" s="119">
        <f t="shared" si="36"/>
        <v>0</v>
      </c>
      <c r="F117" s="119">
        <f t="shared" si="29"/>
        <v>69.851433900099153</v>
      </c>
      <c r="G117" s="119">
        <v>0</v>
      </c>
      <c r="H117" s="119">
        <f t="shared" si="22"/>
        <v>69.851433900099153</v>
      </c>
      <c r="J117" s="119">
        <f>VLOOKUP(A117,'ESAI - Q3 - Base Case'!$A$5:$J$342,10)</f>
        <v>50.007012751799998</v>
      </c>
      <c r="K117" s="119">
        <f t="shared" si="23"/>
        <v>0</v>
      </c>
      <c r="L117" s="119">
        <f t="shared" si="21"/>
        <v>51.507223134354</v>
      </c>
      <c r="M117" s="119">
        <f t="shared" si="24"/>
        <v>0</v>
      </c>
      <c r="N117" s="119">
        <f t="shared" si="25"/>
        <v>51.507223134354</v>
      </c>
      <c r="O117" s="119">
        <v>0</v>
      </c>
      <c r="P117" s="119">
        <f t="shared" si="26"/>
        <v>51.507223134354</v>
      </c>
    </row>
    <row r="118" spans="1:16" x14ac:dyDescent="0.2">
      <c r="A118" s="188">
        <v>46174</v>
      </c>
      <c r="B118" s="119">
        <f>VLOOKUP(A118,'ESAI - Q3 - Base Case'!$A$5:$J$342,9)</f>
        <v>71.787176871400817</v>
      </c>
      <c r="C118" s="119">
        <f t="shared" si="35"/>
        <v>0</v>
      </c>
      <c r="D118" s="119">
        <f t="shared" si="30"/>
        <v>73.940792177542846</v>
      </c>
      <c r="E118" s="119">
        <f t="shared" si="36"/>
        <v>0</v>
      </c>
      <c r="F118" s="119">
        <f t="shared" si="29"/>
        <v>73.940792177542846</v>
      </c>
      <c r="G118" s="119">
        <v>0</v>
      </c>
      <c r="H118" s="119">
        <f t="shared" si="22"/>
        <v>73.940792177542846</v>
      </c>
      <c r="J118" s="119">
        <f>VLOOKUP(A118,'ESAI - Q3 - Base Case'!$A$5:$J$342,10)</f>
        <v>51.227248267657444</v>
      </c>
      <c r="K118" s="119">
        <f t="shared" si="23"/>
        <v>0</v>
      </c>
      <c r="L118" s="119">
        <f t="shared" si="21"/>
        <v>52.764065715687167</v>
      </c>
      <c r="M118" s="119">
        <f t="shared" si="24"/>
        <v>0</v>
      </c>
      <c r="N118" s="119">
        <f t="shared" si="25"/>
        <v>52.764065715687167</v>
      </c>
      <c r="O118" s="119">
        <v>0</v>
      </c>
      <c r="P118" s="119">
        <f t="shared" si="26"/>
        <v>52.764065715687167</v>
      </c>
    </row>
    <row r="119" spans="1:16" x14ac:dyDescent="0.2">
      <c r="A119" s="188">
        <v>46204</v>
      </c>
      <c r="B119" s="119">
        <f>VLOOKUP(A119,'ESAI - Q3 - Base Case'!$A$5:$J$342,9)</f>
        <v>87.654292285986728</v>
      </c>
      <c r="C119" s="119">
        <f t="shared" si="35"/>
        <v>0</v>
      </c>
      <c r="D119" s="119">
        <f t="shared" si="30"/>
        <v>90.283921054566335</v>
      </c>
      <c r="E119" s="119">
        <f t="shared" si="36"/>
        <v>0</v>
      </c>
      <c r="F119" s="119">
        <f t="shared" si="29"/>
        <v>90.283921054566335</v>
      </c>
      <c r="G119" s="119">
        <v>0</v>
      </c>
      <c r="H119" s="119">
        <f t="shared" si="22"/>
        <v>90.283921054566335</v>
      </c>
      <c r="J119" s="119">
        <f>VLOOKUP(A119,'ESAI - Q3 - Base Case'!$A$5:$J$342,10)</f>
        <v>53.938708355492643</v>
      </c>
      <c r="K119" s="119">
        <f t="shared" si="23"/>
        <v>0</v>
      </c>
      <c r="L119" s="119">
        <f t="shared" si="21"/>
        <v>55.556869606157427</v>
      </c>
      <c r="M119" s="119">
        <f t="shared" si="24"/>
        <v>0</v>
      </c>
      <c r="N119" s="119">
        <f t="shared" si="25"/>
        <v>55.556869606157427</v>
      </c>
      <c r="O119" s="119">
        <v>0</v>
      </c>
      <c r="P119" s="119">
        <f t="shared" si="26"/>
        <v>55.556869606157427</v>
      </c>
    </row>
    <row r="120" spans="1:16" x14ac:dyDescent="0.2">
      <c r="A120" s="188">
        <v>46235</v>
      </c>
      <c r="B120" s="119">
        <f>VLOOKUP(A120,'ESAI - Q3 - Base Case'!$A$5:$J$342,9)</f>
        <v>68.531308611125766</v>
      </c>
      <c r="C120" s="119">
        <f t="shared" si="35"/>
        <v>0</v>
      </c>
      <c r="D120" s="119">
        <f t="shared" si="30"/>
        <v>70.587247869459546</v>
      </c>
      <c r="E120" s="119">
        <f t="shared" si="36"/>
        <v>0</v>
      </c>
      <c r="F120" s="119">
        <f t="shared" si="29"/>
        <v>70.587247869459546</v>
      </c>
      <c r="G120" s="119">
        <v>0</v>
      </c>
      <c r="H120" s="119">
        <f t="shared" si="22"/>
        <v>70.587247869459546</v>
      </c>
      <c r="J120" s="119">
        <f>VLOOKUP(A120,'ESAI - Q3 - Base Case'!$A$5:$J$342,10)</f>
        <v>53.106942587808973</v>
      </c>
      <c r="K120" s="119">
        <f t="shared" si="23"/>
        <v>0</v>
      </c>
      <c r="L120" s="119">
        <f t="shared" si="21"/>
        <v>54.700150865443241</v>
      </c>
      <c r="M120" s="119">
        <f t="shared" si="24"/>
        <v>0</v>
      </c>
      <c r="N120" s="119">
        <f t="shared" si="25"/>
        <v>54.700150865443241</v>
      </c>
      <c r="O120" s="119">
        <v>0</v>
      </c>
      <c r="P120" s="119">
        <f t="shared" si="26"/>
        <v>54.700150865443241</v>
      </c>
    </row>
    <row r="121" spans="1:16" x14ac:dyDescent="0.2">
      <c r="A121" s="188">
        <v>46266</v>
      </c>
      <c r="B121" s="119">
        <f>VLOOKUP(A121,'ESAI - Q3 - Base Case'!$A$5:$J$342,9)</f>
        <v>57.660207540467049</v>
      </c>
      <c r="C121" s="119">
        <f t="shared" si="35"/>
        <v>0</v>
      </c>
      <c r="D121" s="119">
        <f t="shared" si="30"/>
        <v>59.390013766681065</v>
      </c>
      <c r="E121" s="119">
        <f t="shared" si="36"/>
        <v>0</v>
      </c>
      <c r="F121" s="119">
        <f t="shared" si="29"/>
        <v>59.390013766681065</v>
      </c>
      <c r="G121" s="119">
        <v>0</v>
      </c>
      <c r="H121" s="119">
        <f t="shared" si="22"/>
        <v>59.390013766681065</v>
      </c>
      <c r="J121" s="119">
        <f>VLOOKUP(A121,'ESAI - Q3 - Base Case'!$A$5:$J$342,10)</f>
        <v>50.494547773689128</v>
      </c>
      <c r="K121" s="119">
        <f t="shared" si="23"/>
        <v>0</v>
      </c>
      <c r="L121" s="119">
        <f t="shared" si="21"/>
        <v>52.009384206899803</v>
      </c>
      <c r="M121" s="119">
        <f t="shared" si="24"/>
        <v>0</v>
      </c>
      <c r="N121" s="119">
        <f t="shared" si="25"/>
        <v>52.009384206899803</v>
      </c>
      <c r="O121" s="119">
        <v>0</v>
      </c>
      <c r="P121" s="119">
        <f t="shared" si="26"/>
        <v>52.009384206899803</v>
      </c>
    </row>
    <row r="122" spans="1:16" x14ac:dyDescent="0.2">
      <c r="A122" s="188">
        <v>46296</v>
      </c>
      <c r="B122" s="119">
        <f>VLOOKUP(A122,'ESAI - Q3 - Base Case'!$A$5:$J$342,9)</f>
        <v>55.1607428736</v>
      </c>
      <c r="C122" s="119">
        <f t="shared" si="35"/>
        <v>0</v>
      </c>
      <c r="D122" s="119">
        <f t="shared" si="30"/>
        <v>56.815565159808003</v>
      </c>
      <c r="E122" s="119">
        <f t="shared" si="36"/>
        <v>0</v>
      </c>
      <c r="F122" s="119">
        <f t="shared" si="29"/>
        <v>56.815565159808003</v>
      </c>
      <c r="G122" s="119">
        <v>0</v>
      </c>
      <c r="H122" s="119">
        <f t="shared" si="22"/>
        <v>56.815565159808003</v>
      </c>
      <c r="J122" s="119">
        <f>VLOOKUP(A122,'ESAI - Q3 - Base Case'!$A$5:$J$342,10)</f>
        <v>48.260821284534245</v>
      </c>
      <c r="K122" s="119">
        <f t="shared" si="23"/>
        <v>0</v>
      </c>
      <c r="L122" s="119">
        <f t="shared" si="21"/>
        <v>49.708645923070272</v>
      </c>
      <c r="M122" s="119">
        <f t="shared" si="24"/>
        <v>0</v>
      </c>
      <c r="N122" s="119">
        <f t="shared" si="25"/>
        <v>49.708645923070272</v>
      </c>
      <c r="O122" s="119">
        <v>0</v>
      </c>
      <c r="P122" s="119">
        <f t="shared" si="26"/>
        <v>49.708645923070272</v>
      </c>
    </row>
    <row r="123" spans="1:16" x14ac:dyDescent="0.2">
      <c r="A123" s="188">
        <v>46327</v>
      </c>
      <c r="B123" s="119">
        <f>VLOOKUP(A123,'ESAI - Q3 - Base Case'!$A$5:$J$342,9)</f>
        <v>63.377171494833604</v>
      </c>
      <c r="C123" s="119">
        <f t="shared" si="35"/>
        <v>0</v>
      </c>
      <c r="D123" s="119">
        <f t="shared" si="30"/>
        <v>65.278486639678619</v>
      </c>
      <c r="E123" s="119">
        <f t="shared" si="36"/>
        <v>0</v>
      </c>
      <c r="F123" s="119">
        <f t="shared" si="29"/>
        <v>65.278486639678619</v>
      </c>
      <c r="G123" s="119">
        <v>0</v>
      </c>
      <c r="H123" s="119">
        <f t="shared" si="22"/>
        <v>65.278486639678619</v>
      </c>
      <c r="J123" s="119">
        <f>VLOOKUP(A123,'ESAI - Q3 - Base Case'!$A$5:$J$342,10)</f>
        <v>53.164772608389114</v>
      </c>
      <c r="K123" s="119">
        <f t="shared" si="23"/>
        <v>0</v>
      </c>
      <c r="L123" s="119">
        <f t="shared" si="21"/>
        <v>54.75971578664079</v>
      </c>
      <c r="M123" s="119">
        <f t="shared" si="24"/>
        <v>0</v>
      </c>
      <c r="N123" s="119">
        <f t="shared" si="25"/>
        <v>54.75971578664079</v>
      </c>
      <c r="O123" s="119">
        <v>0</v>
      </c>
      <c r="P123" s="119">
        <f t="shared" si="26"/>
        <v>54.75971578664079</v>
      </c>
    </row>
    <row r="124" spans="1:16" x14ac:dyDescent="0.2">
      <c r="A124" s="188">
        <v>46357</v>
      </c>
      <c r="B124" s="119">
        <f>VLOOKUP(A124,'ESAI - Q3 - Base Case'!$A$5:$J$342,9)</f>
        <v>91.515364603400172</v>
      </c>
      <c r="C124" s="119">
        <f t="shared" si="35"/>
        <v>0</v>
      </c>
      <c r="D124" s="119">
        <f t="shared" si="30"/>
        <v>94.260825541502186</v>
      </c>
      <c r="E124" s="119">
        <f t="shared" si="36"/>
        <v>0</v>
      </c>
      <c r="F124" s="119">
        <f t="shared" si="29"/>
        <v>94.260825541502186</v>
      </c>
      <c r="G124" s="119">
        <v>0</v>
      </c>
      <c r="H124" s="119">
        <f t="shared" si="22"/>
        <v>94.260825541502186</v>
      </c>
      <c r="J124" s="119">
        <f>VLOOKUP(A124,'ESAI - Q3 - Base Case'!$A$5:$J$342,10)</f>
        <v>69.245090355801594</v>
      </c>
      <c r="K124" s="119">
        <f t="shared" si="23"/>
        <v>0</v>
      </c>
      <c r="L124" s="119">
        <f t="shared" si="21"/>
        <v>71.322443066475643</v>
      </c>
      <c r="M124" s="119">
        <f t="shared" si="24"/>
        <v>0</v>
      </c>
      <c r="N124" s="119">
        <f t="shared" si="25"/>
        <v>71.322443066475643</v>
      </c>
      <c r="O124" s="119">
        <v>0</v>
      </c>
      <c r="P124" s="119">
        <f t="shared" si="26"/>
        <v>71.322443066475643</v>
      </c>
    </row>
    <row r="125" spans="1:16" x14ac:dyDescent="0.2">
      <c r="A125" s="188">
        <v>46388</v>
      </c>
      <c r="B125" s="119">
        <f>VLOOKUP(A125,'ESAI - Q3 - Base Case'!$A$5:$J$342,9)</f>
        <v>128.23392418527814</v>
      </c>
      <c r="C125" s="119">
        <f>C113*(1+'Firm Purchase Revenue Reqmnt'!$I$71)</f>
        <v>0</v>
      </c>
      <c r="D125" s="119">
        <f t="shared" si="30"/>
        <v>132.08094191083649</v>
      </c>
      <c r="E125" s="120">
        <f>E113*(1+$E$2)</f>
        <v>0</v>
      </c>
      <c r="F125" s="119">
        <f t="shared" si="29"/>
        <v>132.08094191083649</v>
      </c>
      <c r="G125" s="120">
        <v>0</v>
      </c>
      <c r="H125" s="119">
        <f t="shared" si="22"/>
        <v>132.08094191083649</v>
      </c>
      <c r="J125" s="119">
        <f>VLOOKUP(A125,'ESAI - Q3 - Base Case'!$A$5:$J$342,10)</f>
        <v>86.645257231270492</v>
      </c>
      <c r="K125" s="119">
        <f t="shared" si="23"/>
        <v>0</v>
      </c>
      <c r="L125" s="119">
        <f t="shared" si="21"/>
        <v>89.244614948208607</v>
      </c>
      <c r="M125" s="120">
        <f t="shared" si="24"/>
        <v>0</v>
      </c>
      <c r="N125" s="119">
        <f t="shared" si="25"/>
        <v>89.244614948208607</v>
      </c>
      <c r="O125" s="120">
        <v>0</v>
      </c>
      <c r="P125" s="119">
        <f t="shared" si="26"/>
        <v>89.244614948208607</v>
      </c>
    </row>
    <row r="126" spans="1:16" x14ac:dyDescent="0.2">
      <c r="A126" s="188">
        <v>46419</v>
      </c>
      <c r="B126" s="119">
        <f>VLOOKUP(A126,'ESAI - Q3 - Base Case'!$A$5:$J$342,9)</f>
        <v>93.018427865803716</v>
      </c>
      <c r="C126" s="119">
        <f>C125</f>
        <v>0</v>
      </c>
      <c r="D126" s="119">
        <f t="shared" si="30"/>
        <v>95.808980701777827</v>
      </c>
      <c r="E126" s="119">
        <f>E125</f>
        <v>0</v>
      </c>
      <c r="F126" s="119">
        <f t="shared" si="29"/>
        <v>95.808980701777827</v>
      </c>
      <c r="G126" s="119">
        <v>0</v>
      </c>
      <c r="H126" s="119">
        <f t="shared" si="22"/>
        <v>95.808980701777827</v>
      </c>
      <c r="J126" s="119">
        <f>VLOOKUP(A126,'ESAI - Q3 - Base Case'!$A$5:$J$342,10)</f>
        <v>77.996062663768612</v>
      </c>
      <c r="K126" s="119">
        <f t="shared" si="23"/>
        <v>0</v>
      </c>
      <c r="L126" s="119">
        <f t="shared" si="21"/>
        <v>80.335944543681677</v>
      </c>
      <c r="M126" s="119">
        <f t="shared" si="24"/>
        <v>0</v>
      </c>
      <c r="N126" s="119">
        <f t="shared" si="25"/>
        <v>80.335944543681677</v>
      </c>
      <c r="O126" s="119">
        <v>0</v>
      </c>
      <c r="P126" s="119">
        <f t="shared" si="26"/>
        <v>80.335944543681677</v>
      </c>
    </row>
    <row r="127" spans="1:16" x14ac:dyDescent="0.2">
      <c r="A127" s="188">
        <v>46447</v>
      </c>
      <c r="B127" s="119">
        <f>VLOOKUP(A127,'ESAI - Q3 - Base Case'!$A$5:$J$342,9)</f>
        <v>65.474301366800319</v>
      </c>
      <c r="C127" s="119">
        <f t="shared" ref="C127:C136" si="37">C126</f>
        <v>0</v>
      </c>
      <c r="D127" s="119">
        <f t="shared" si="30"/>
        <v>67.438530407804336</v>
      </c>
      <c r="E127" s="119">
        <f t="shared" ref="E127:E136" si="38">E126</f>
        <v>0</v>
      </c>
      <c r="F127" s="119">
        <f t="shared" si="29"/>
        <v>67.438530407804336</v>
      </c>
      <c r="G127" s="119">
        <v>0</v>
      </c>
      <c r="H127" s="119">
        <f t="shared" si="22"/>
        <v>67.438530407804336</v>
      </c>
      <c r="J127" s="119">
        <f>VLOOKUP(A127,'ESAI - Q3 - Base Case'!$A$5:$J$342,10)</f>
        <v>54.878982210325873</v>
      </c>
      <c r="K127" s="119">
        <f t="shared" si="23"/>
        <v>0</v>
      </c>
      <c r="L127" s="119">
        <f t="shared" si="21"/>
        <v>56.525351676635651</v>
      </c>
      <c r="M127" s="119">
        <f t="shared" si="24"/>
        <v>0</v>
      </c>
      <c r="N127" s="119">
        <f t="shared" si="25"/>
        <v>56.525351676635651</v>
      </c>
      <c r="O127" s="119">
        <v>0</v>
      </c>
      <c r="P127" s="119">
        <f t="shared" si="26"/>
        <v>56.525351676635651</v>
      </c>
    </row>
    <row r="128" spans="1:16" x14ac:dyDescent="0.2">
      <c r="A128" s="188">
        <v>46478</v>
      </c>
      <c r="B128" s="119">
        <f>VLOOKUP(A128,'ESAI - Q3 - Base Case'!$A$5:$J$342,9)</f>
        <v>61.212309880914006</v>
      </c>
      <c r="C128" s="119">
        <f t="shared" si="37"/>
        <v>0</v>
      </c>
      <c r="D128" s="119">
        <f t="shared" si="30"/>
        <v>63.048679177341427</v>
      </c>
      <c r="E128" s="119">
        <f t="shared" si="38"/>
        <v>0</v>
      </c>
      <c r="F128" s="119">
        <f t="shared" si="29"/>
        <v>63.048679177341427</v>
      </c>
      <c r="G128" s="119">
        <v>0</v>
      </c>
      <c r="H128" s="119">
        <f t="shared" si="22"/>
        <v>63.048679177341427</v>
      </c>
      <c r="J128" s="119">
        <f>VLOOKUP(A128,'ESAI - Q3 - Base Case'!$A$5:$J$342,10)</f>
        <v>49.224521807282137</v>
      </c>
      <c r="K128" s="119">
        <f t="shared" si="23"/>
        <v>0</v>
      </c>
      <c r="L128" s="119">
        <f t="shared" si="21"/>
        <v>50.701257461500603</v>
      </c>
      <c r="M128" s="119">
        <f t="shared" si="24"/>
        <v>0</v>
      </c>
      <c r="N128" s="119">
        <f t="shared" si="25"/>
        <v>50.701257461500603</v>
      </c>
      <c r="O128" s="119">
        <v>0</v>
      </c>
      <c r="P128" s="119">
        <f t="shared" si="26"/>
        <v>50.701257461500603</v>
      </c>
    </row>
    <row r="129" spans="1:16" x14ac:dyDescent="0.2">
      <c r="A129" s="188">
        <v>46508</v>
      </c>
      <c r="B129" s="119">
        <f>VLOOKUP(A129,'ESAI - Q3 - Base Case'!$A$5:$J$342,9)</f>
        <v>69.173264638933148</v>
      </c>
      <c r="C129" s="119">
        <f t="shared" si="37"/>
        <v>0</v>
      </c>
      <c r="D129" s="119">
        <f t="shared" si="30"/>
        <v>71.24846257810114</v>
      </c>
      <c r="E129" s="119">
        <f t="shared" si="38"/>
        <v>0</v>
      </c>
      <c r="F129" s="119">
        <f t="shared" si="29"/>
        <v>71.24846257810114</v>
      </c>
      <c r="G129" s="119">
        <v>0</v>
      </c>
      <c r="H129" s="119">
        <f t="shared" si="22"/>
        <v>71.24846257810114</v>
      </c>
      <c r="J129" s="119">
        <f>VLOOKUP(A129,'ESAI - Q3 - Base Case'!$A$5:$J$342,10)</f>
        <v>51.007153006835999</v>
      </c>
      <c r="K129" s="119">
        <f t="shared" si="23"/>
        <v>0</v>
      </c>
      <c r="L129" s="119">
        <f t="shared" si="21"/>
        <v>52.537367597041083</v>
      </c>
      <c r="M129" s="119">
        <f t="shared" si="24"/>
        <v>0</v>
      </c>
      <c r="N129" s="119">
        <f t="shared" si="25"/>
        <v>52.537367597041083</v>
      </c>
      <c r="O129" s="119">
        <v>0</v>
      </c>
      <c r="P129" s="119">
        <f t="shared" si="26"/>
        <v>52.537367597041083</v>
      </c>
    </row>
    <row r="130" spans="1:16" x14ac:dyDescent="0.2">
      <c r="A130" s="188">
        <v>46539</v>
      </c>
      <c r="B130" s="119">
        <f>VLOOKUP(A130,'ESAI - Q3 - Base Case'!$A$5:$J$342,9)</f>
        <v>73.222920408828841</v>
      </c>
      <c r="C130" s="119">
        <f t="shared" si="37"/>
        <v>0</v>
      </c>
      <c r="D130" s="119">
        <f t="shared" si="30"/>
        <v>75.419608021093708</v>
      </c>
      <c r="E130" s="119">
        <f t="shared" si="38"/>
        <v>0</v>
      </c>
      <c r="F130" s="119">
        <f t="shared" si="29"/>
        <v>75.419608021093708</v>
      </c>
      <c r="G130" s="119">
        <v>0</v>
      </c>
      <c r="H130" s="119">
        <f t="shared" si="22"/>
        <v>75.419608021093708</v>
      </c>
      <c r="J130" s="119">
        <f>VLOOKUP(A130,'ESAI - Q3 - Base Case'!$A$5:$J$342,10)</f>
        <v>52.251793233010595</v>
      </c>
      <c r="K130" s="119">
        <f t="shared" si="23"/>
        <v>0</v>
      </c>
      <c r="L130" s="119">
        <f t="shared" si="21"/>
        <v>53.819347030000912</v>
      </c>
      <c r="M130" s="119">
        <f t="shared" si="24"/>
        <v>0</v>
      </c>
      <c r="N130" s="119">
        <f t="shared" si="25"/>
        <v>53.819347030000912</v>
      </c>
      <c r="O130" s="119">
        <v>0</v>
      </c>
      <c r="P130" s="119">
        <f t="shared" si="26"/>
        <v>53.819347030000912</v>
      </c>
    </row>
    <row r="131" spans="1:16" x14ac:dyDescent="0.2">
      <c r="A131" s="188">
        <v>46569</v>
      </c>
      <c r="B131" s="119">
        <f>VLOOKUP(A131,'ESAI - Q3 - Base Case'!$A$5:$J$342,9)</f>
        <v>89.407378131706466</v>
      </c>
      <c r="C131" s="119">
        <f t="shared" si="37"/>
        <v>0</v>
      </c>
      <c r="D131" s="119">
        <f t="shared" si="30"/>
        <v>92.089599475657664</v>
      </c>
      <c r="E131" s="119">
        <f t="shared" si="38"/>
        <v>0</v>
      </c>
      <c r="F131" s="119">
        <f t="shared" si="29"/>
        <v>92.089599475657664</v>
      </c>
      <c r="G131" s="119">
        <v>0</v>
      </c>
      <c r="H131" s="119">
        <f t="shared" si="22"/>
        <v>92.089599475657664</v>
      </c>
      <c r="J131" s="119">
        <f>VLOOKUP(A131,'ESAI - Q3 - Base Case'!$A$5:$J$342,10)</f>
        <v>55.017482522602499</v>
      </c>
      <c r="K131" s="119">
        <f t="shared" si="23"/>
        <v>0</v>
      </c>
      <c r="L131" s="119">
        <f t="shared" si="21"/>
        <v>56.668006998280575</v>
      </c>
      <c r="M131" s="119">
        <f t="shared" si="24"/>
        <v>0</v>
      </c>
      <c r="N131" s="119">
        <f t="shared" si="25"/>
        <v>56.668006998280575</v>
      </c>
      <c r="O131" s="119">
        <v>0</v>
      </c>
      <c r="P131" s="119">
        <f t="shared" si="26"/>
        <v>56.668006998280575</v>
      </c>
    </row>
    <row r="132" spans="1:16" x14ac:dyDescent="0.2">
      <c r="A132" s="188">
        <v>46600</v>
      </c>
      <c r="B132" s="119">
        <f>VLOOKUP(A132,'ESAI - Q3 - Base Case'!$A$5:$J$342,9)</f>
        <v>69.901934783348281</v>
      </c>
      <c r="C132" s="119">
        <f t="shared" si="37"/>
        <v>0</v>
      </c>
      <c r="D132" s="119">
        <f t="shared" si="30"/>
        <v>71.998992826848735</v>
      </c>
      <c r="E132" s="119">
        <f t="shared" si="38"/>
        <v>0</v>
      </c>
      <c r="F132" s="119">
        <f t="shared" si="29"/>
        <v>71.998992826848735</v>
      </c>
      <c r="G132" s="119">
        <v>0</v>
      </c>
      <c r="H132" s="119">
        <f t="shared" si="22"/>
        <v>71.998992826848735</v>
      </c>
      <c r="J132" s="119">
        <f>VLOOKUP(A132,'ESAI - Q3 - Base Case'!$A$5:$J$342,10)</f>
        <v>54.169081439565154</v>
      </c>
      <c r="K132" s="119">
        <f t="shared" si="23"/>
        <v>0</v>
      </c>
      <c r="L132" s="119">
        <f t="shared" si="21"/>
        <v>55.794153882752113</v>
      </c>
      <c r="M132" s="119">
        <f t="shared" si="24"/>
        <v>0</v>
      </c>
      <c r="N132" s="119">
        <f t="shared" si="25"/>
        <v>55.794153882752113</v>
      </c>
      <c r="O132" s="119">
        <v>0</v>
      </c>
      <c r="P132" s="119">
        <f t="shared" si="26"/>
        <v>55.794153882752113</v>
      </c>
    </row>
    <row r="133" spans="1:16" x14ac:dyDescent="0.2">
      <c r="A133" s="188">
        <v>46631</v>
      </c>
      <c r="B133" s="119">
        <f>VLOOKUP(A133,'ESAI - Q3 - Base Case'!$A$5:$J$342,9)</f>
        <v>58.813411691276393</v>
      </c>
      <c r="C133" s="119">
        <f t="shared" si="37"/>
        <v>0</v>
      </c>
      <c r="D133" s="119">
        <f t="shared" si="30"/>
        <v>60.577814042014687</v>
      </c>
      <c r="E133" s="119">
        <f t="shared" si="38"/>
        <v>0</v>
      </c>
      <c r="F133" s="119">
        <f t="shared" si="29"/>
        <v>60.577814042014687</v>
      </c>
      <c r="G133" s="119">
        <v>0</v>
      </c>
      <c r="H133" s="119">
        <f t="shared" si="22"/>
        <v>60.577814042014687</v>
      </c>
      <c r="J133" s="119">
        <f>VLOOKUP(A133,'ESAI - Q3 - Base Case'!$A$5:$J$342,10)</f>
        <v>51.504438729162914</v>
      </c>
      <c r="K133" s="119">
        <f t="shared" si="23"/>
        <v>0</v>
      </c>
      <c r="L133" s="119">
        <f t="shared" ref="L133:L196" si="39">SUM(J133:K133)*ForEx</f>
        <v>53.0495718910378</v>
      </c>
      <c r="M133" s="119">
        <f t="shared" si="24"/>
        <v>0</v>
      </c>
      <c r="N133" s="119">
        <f t="shared" si="25"/>
        <v>53.0495718910378</v>
      </c>
      <c r="O133" s="119">
        <v>0</v>
      </c>
      <c r="P133" s="119">
        <f t="shared" si="26"/>
        <v>53.0495718910378</v>
      </c>
    </row>
    <row r="134" spans="1:16" x14ac:dyDescent="0.2">
      <c r="A134" s="188">
        <v>46661</v>
      </c>
      <c r="B134" s="119">
        <f>VLOOKUP(A134,'ESAI - Q3 - Base Case'!$A$5:$J$342,9)</f>
        <v>56.263957731072004</v>
      </c>
      <c r="C134" s="119">
        <f t="shared" si="37"/>
        <v>0</v>
      </c>
      <c r="D134" s="119">
        <f t="shared" si="30"/>
        <v>57.951876463004169</v>
      </c>
      <c r="E134" s="119">
        <f t="shared" si="38"/>
        <v>0</v>
      </c>
      <c r="F134" s="119">
        <f t="shared" si="29"/>
        <v>57.951876463004169</v>
      </c>
      <c r="G134" s="119">
        <v>0</v>
      </c>
      <c r="H134" s="119">
        <f t="shared" ref="H134:H197" si="40">G134+F134</f>
        <v>57.951876463004169</v>
      </c>
      <c r="J134" s="119">
        <f>VLOOKUP(A134,'ESAI - Q3 - Base Case'!$A$5:$J$342,10)</f>
        <v>49.226037710224929</v>
      </c>
      <c r="K134" s="119">
        <f t="shared" ref="K134:K197" si="41">C134</f>
        <v>0</v>
      </c>
      <c r="L134" s="119">
        <f t="shared" si="39"/>
        <v>50.702818841531681</v>
      </c>
      <c r="M134" s="119">
        <f t="shared" ref="M134:M197" si="42">E134</f>
        <v>0</v>
      </c>
      <c r="N134" s="119">
        <f t="shared" ref="N134:N197" si="43">L134-M134</f>
        <v>50.702818841531681</v>
      </c>
      <c r="O134" s="119">
        <v>0</v>
      </c>
      <c r="P134" s="119">
        <f t="shared" ref="P134:P197" si="44">N134-O134</f>
        <v>50.702818841531681</v>
      </c>
    </row>
    <row r="135" spans="1:16" x14ac:dyDescent="0.2">
      <c r="A135" s="188">
        <v>46692</v>
      </c>
      <c r="B135" s="119">
        <f>VLOOKUP(A135,'ESAI - Q3 - Base Case'!$A$5:$J$342,9)</f>
        <v>64.64471492473028</v>
      </c>
      <c r="C135" s="119">
        <f t="shared" si="37"/>
        <v>0</v>
      </c>
      <c r="D135" s="119">
        <f t="shared" si="30"/>
        <v>66.58405637247219</v>
      </c>
      <c r="E135" s="119">
        <f t="shared" si="38"/>
        <v>0</v>
      </c>
      <c r="F135" s="119">
        <f t="shared" si="29"/>
        <v>66.58405637247219</v>
      </c>
      <c r="G135" s="119">
        <v>0</v>
      </c>
      <c r="H135" s="119">
        <f t="shared" si="40"/>
        <v>66.58405637247219</v>
      </c>
      <c r="J135" s="119">
        <f>VLOOKUP(A135,'ESAI - Q3 - Base Case'!$A$5:$J$342,10)</f>
        <v>54.2280680605569</v>
      </c>
      <c r="K135" s="119">
        <f t="shared" si="41"/>
        <v>0</v>
      </c>
      <c r="L135" s="119">
        <f t="shared" si="39"/>
        <v>55.854910102373609</v>
      </c>
      <c r="M135" s="119">
        <f t="shared" si="42"/>
        <v>0</v>
      </c>
      <c r="N135" s="119">
        <f t="shared" si="43"/>
        <v>55.854910102373609</v>
      </c>
      <c r="O135" s="119">
        <v>0</v>
      </c>
      <c r="P135" s="119">
        <f t="shared" si="44"/>
        <v>55.854910102373609</v>
      </c>
    </row>
    <row r="136" spans="1:16" x14ac:dyDescent="0.2">
      <c r="A136" s="188">
        <v>46722</v>
      </c>
      <c r="B136" s="119">
        <f>VLOOKUP(A136,'ESAI - Q3 - Base Case'!$A$5:$J$342,9)</f>
        <v>93.345671895468172</v>
      </c>
      <c r="C136" s="119">
        <f t="shared" si="37"/>
        <v>0</v>
      </c>
      <c r="D136" s="119">
        <f t="shared" si="30"/>
        <v>96.14604205233222</v>
      </c>
      <c r="E136" s="119">
        <f t="shared" si="38"/>
        <v>0</v>
      </c>
      <c r="F136" s="119">
        <f t="shared" si="29"/>
        <v>96.14604205233222</v>
      </c>
      <c r="G136" s="119">
        <v>0</v>
      </c>
      <c r="H136" s="119">
        <f t="shared" si="40"/>
        <v>96.14604205233222</v>
      </c>
      <c r="J136" s="119">
        <f>VLOOKUP(A136,'ESAI - Q3 - Base Case'!$A$5:$J$342,10)</f>
        <v>70.629992162917631</v>
      </c>
      <c r="K136" s="119">
        <f t="shared" si="41"/>
        <v>0</v>
      </c>
      <c r="L136" s="119">
        <f t="shared" si="39"/>
        <v>72.748891927805161</v>
      </c>
      <c r="M136" s="119">
        <f t="shared" si="42"/>
        <v>0</v>
      </c>
      <c r="N136" s="119">
        <f t="shared" si="43"/>
        <v>72.748891927805161</v>
      </c>
      <c r="O136" s="119">
        <v>0</v>
      </c>
      <c r="P136" s="119">
        <f t="shared" si="44"/>
        <v>72.748891927805161</v>
      </c>
    </row>
    <row r="137" spans="1:16" x14ac:dyDescent="0.2">
      <c r="A137" s="188">
        <v>46753</v>
      </c>
      <c r="B137" s="119">
        <f>VLOOKUP(A137,'ESAI - Q3 - Base Case'!$A$5:$J$342,9)</f>
        <v>130.7986026689837</v>
      </c>
      <c r="C137" s="119">
        <f>C125*(1+'Firm Purchase Revenue Reqmnt'!$I$71)</f>
        <v>0</v>
      </c>
      <c r="D137" s="119">
        <f t="shared" si="30"/>
        <v>134.72256074905323</v>
      </c>
      <c r="E137" s="120">
        <f>E125*(1+$E$2)</f>
        <v>0</v>
      </c>
      <c r="F137" s="119">
        <f t="shared" si="29"/>
        <v>134.72256074905323</v>
      </c>
      <c r="G137" s="120">
        <v>0</v>
      </c>
      <c r="H137" s="119">
        <f t="shared" si="40"/>
        <v>134.72256074905323</v>
      </c>
      <c r="J137" s="119">
        <f>VLOOKUP(A137,'ESAI - Q3 - Base Case'!$A$5:$J$342,10)</f>
        <v>88.378162375895897</v>
      </c>
      <c r="K137" s="119">
        <f t="shared" si="41"/>
        <v>0</v>
      </c>
      <c r="L137" s="119">
        <f t="shared" si="39"/>
        <v>91.029507247172774</v>
      </c>
      <c r="M137" s="120">
        <f t="shared" si="42"/>
        <v>0</v>
      </c>
      <c r="N137" s="119">
        <f t="shared" si="43"/>
        <v>91.029507247172774</v>
      </c>
      <c r="O137" s="120">
        <v>0</v>
      </c>
      <c r="P137" s="119">
        <f t="shared" si="44"/>
        <v>91.029507247172774</v>
      </c>
    </row>
    <row r="138" spans="1:16" x14ac:dyDescent="0.2">
      <c r="A138" s="188">
        <v>46784</v>
      </c>
      <c r="B138" s="119">
        <f>VLOOKUP(A138,'ESAI - Q3 - Base Case'!$A$5:$J$342,9)</f>
        <v>94.878796423119795</v>
      </c>
      <c r="C138" s="119">
        <f>C137</f>
        <v>0</v>
      </c>
      <c r="D138" s="119">
        <f t="shared" si="30"/>
        <v>97.725160315813397</v>
      </c>
      <c r="E138" s="119">
        <f>E137</f>
        <v>0</v>
      </c>
      <c r="F138" s="119">
        <f t="shared" si="29"/>
        <v>97.725160315813397</v>
      </c>
      <c r="G138" s="119">
        <v>0</v>
      </c>
      <c r="H138" s="119">
        <f t="shared" si="40"/>
        <v>97.725160315813397</v>
      </c>
      <c r="J138" s="119">
        <f>VLOOKUP(A138,'ESAI - Q3 - Base Case'!$A$5:$J$342,10)</f>
        <v>79.555983917043989</v>
      </c>
      <c r="K138" s="119">
        <f t="shared" si="41"/>
        <v>0</v>
      </c>
      <c r="L138" s="119">
        <f t="shared" si="39"/>
        <v>81.942663434555314</v>
      </c>
      <c r="M138" s="119">
        <f t="shared" si="42"/>
        <v>0</v>
      </c>
      <c r="N138" s="119">
        <f t="shared" si="43"/>
        <v>81.942663434555314</v>
      </c>
      <c r="O138" s="119">
        <v>0</v>
      </c>
      <c r="P138" s="119">
        <f t="shared" si="44"/>
        <v>81.942663434555314</v>
      </c>
    </row>
    <row r="139" spans="1:16" x14ac:dyDescent="0.2">
      <c r="A139" s="188">
        <v>46813</v>
      </c>
      <c r="B139" s="119">
        <f>VLOOKUP(A139,'ESAI - Q3 - Base Case'!$A$5:$J$342,9)</f>
        <v>66.783787394136326</v>
      </c>
      <c r="C139" s="119">
        <f t="shared" ref="C139:C148" si="45">C138</f>
        <v>0</v>
      </c>
      <c r="D139" s="119">
        <f t="shared" si="30"/>
        <v>68.787301015960423</v>
      </c>
      <c r="E139" s="119">
        <f t="shared" ref="E139:E148" si="46">E138</f>
        <v>0</v>
      </c>
      <c r="F139" s="119">
        <f t="shared" si="29"/>
        <v>68.787301015960423</v>
      </c>
      <c r="G139" s="119">
        <v>0</v>
      </c>
      <c r="H139" s="119">
        <f t="shared" si="40"/>
        <v>68.787301015960423</v>
      </c>
      <c r="J139" s="119">
        <f>VLOOKUP(A139,'ESAI - Q3 - Base Case'!$A$5:$J$342,10)</f>
        <v>55.976561854532392</v>
      </c>
      <c r="K139" s="119">
        <f t="shared" si="41"/>
        <v>0</v>
      </c>
      <c r="L139" s="119">
        <f t="shared" si="39"/>
        <v>57.655858710168367</v>
      </c>
      <c r="M139" s="119">
        <f t="shared" si="42"/>
        <v>0</v>
      </c>
      <c r="N139" s="119">
        <f t="shared" si="43"/>
        <v>57.655858710168367</v>
      </c>
      <c r="O139" s="119">
        <v>0</v>
      </c>
      <c r="P139" s="119">
        <f t="shared" si="44"/>
        <v>57.655858710168367</v>
      </c>
    </row>
    <row r="140" spans="1:16" x14ac:dyDescent="0.2">
      <c r="A140" s="188">
        <v>46844</v>
      </c>
      <c r="B140" s="119">
        <f>VLOOKUP(A140,'ESAI - Q3 - Base Case'!$A$5:$J$342,9)</f>
        <v>62.436556078532284</v>
      </c>
      <c r="C140" s="119">
        <f t="shared" si="45"/>
        <v>0</v>
      </c>
      <c r="D140" s="119">
        <f t="shared" si="30"/>
        <v>64.309652760888255</v>
      </c>
      <c r="E140" s="119">
        <f t="shared" si="46"/>
        <v>0</v>
      </c>
      <c r="F140" s="119">
        <f t="shared" si="29"/>
        <v>64.309652760888255</v>
      </c>
      <c r="G140" s="119">
        <v>0</v>
      </c>
      <c r="H140" s="119">
        <f t="shared" si="40"/>
        <v>64.309652760888255</v>
      </c>
      <c r="J140" s="119">
        <f>VLOOKUP(A140,'ESAI - Q3 - Base Case'!$A$5:$J$342,10)</f>
        <v>50.209012243427779</v>
      </c>
      <c r="K140" s="119">
        <f t="shared" si="41"/>
        <v>0</v>
      </c>
      <c r="L140" s="119">
        <f t="shared" si="39"/>
        <v>51.715282610730611</v>
      </c>
      <c r="M140" s="119">
        <f t="shared" si="42"/>
        <v>0</v>
      </c>
      <c r="N140" s="119">
        <f t="shared" si="43"/>
        <v>51.715282610730611</v>
      </c>
      <c r="O140" s="119">
        <v>0</v>
      </c>
      <c r="P140" s="119">
        <f t="shared" si="44"/>
        <v>51.715282610730611</v>
      </c>
    </row>
    <row r="141" spans="1:16" x14ac:dyDescent="0.2">
      <c r="A141" s="188">
        <v>46874</v>
      </c>
      <c r="B141" s="119">
        <f>VLOOKUP(A141,'ESAI - Q3 - Base Case'!$A$5:$J$342,9)</f>
        <v>70.556729931711814</v>
      </c>
      <c r="C141" s="119">
        <f t="shared" si="45"/>
        <v>0</v>
      </c>
      <c r="D141" s="119">
        <f t="shared" si="30"/>
        <v>72.673431829663173</v>
      </c>
      <c r="E141" s="119">
        <f t="shared" si="46"/>
        <v>0</v>
      </c>
      <c r="F141" s="119">
        <f t="shared" si="29"/>
        <v>72.673431829663173</v>
      </c>
      <c r="G141" s="119">
        <v>0</v>
      </c>
      <c r="H141" s="119">
        <f t="shared" si="40"/>
        <v>72.673431829663173</v>
      </c>
      <c r="J141" s="119">
        <f>VLOOKUP(A141,'ESAI - Q3 - Base Case'!$A$5:$J$342,10)</f>
        <v>52.027296066972717</v>
      </c>
      <c r="K141" s="119">
        <f t="shared" si="41"/>
        <v>0</v>
      </c>
      <c r="L141" s="119">
        <f t="shared" si="39"/>
        <v>53.588114948981897</v>
      </c>
      <c r="M141" s="119">
        <f t="shared" si="42"/>
        <v>0</v>
      </c>
      <c r="N141" s="119">
        <f t="shared" si="43"/>
        <v>53.588114948981897</v>
      </c>
      <c r="O141" s="119">
        <v>0</v>
      </c>
      <c r="P141" s="119">
        <f t="shared" si="44"/>
        <v>53.588114948981897</v>
      </c>
    </row>
    <row r="142" spans="1:16" x14ac:dyDescent="0.2">
      <c r="A142" s="188">
        <v>46905</v>
      </c>
      <c r="B142" s="119">
        <f>VLOOKUP(A142,'ESAI - Q3 - Base Case'!$A$5:$J$342,9)</f>
        <v>74.687378817005424</v>
      </c>
      <c r="C142" s="119">
        <f t="shared" si="45"/>
        <v>0</v>
      </c>
      <c r="D142" s="119">
        <f t="shared" si="30"/>
        <v>76.928000181515586</v>
      </c>
      <c r="E142" s="119">
        <f t="shared" si="46"/>
        <v>0</v>
      </c>
      <c r="F142" s="119">
        <f t="shared" si="29"/>
        <v>76.928000181515586</v>
      </c>
      <c r="G142" s="119">
        <v>0</v>
      </c>
      <c r="H142" s="119">
        <f t="shared" si="40"/>
        <v>76.928000181515586</v>
      </c>
      <c r="J142" s="119">
        <f>VLOOKUP(A142,'ESAI - Q3 - Base Case'!$A$5:$J$342,10)</f>
        <v>53.296829097670809</v>
      </c>
      <c r="K142" s="119">
        <f t="shared" si="41"/>
        <v>0</v>
      </c>
      <c r="L142" s="119">
        <f t="shared" si="39"/>
        <v>54.895733970600936</v>
      </c>
      <c r="M142" s="119">
        <f t="shared" si="42"/>
        <v>0</v>
      </c>
      <c r="N142" s="119">
        <f t="shared" si="43"/>
        <v>54.895733970600936</v>
      </c>
      <c r="O142" s="119">
        <v>0</v>
      </c>
      <c r="P142" s="119">
        <f t="shared" si="44"/>
        <v>54.895733970600936</v>
      </c>
    </row>
    <row r="143" spans="1:16" x14ac:dyDescent="0.2">
      <c r="A143" s="188">
        <v>46935</v>
      </c>
      <c r="B143" s="119">
        <f>VLOOKUP(A143,'ESAI - Q3 - Base Case'!$A$5:$J$342,9)</f>
        <v>91.195525694340603</v>
      </c>
      <c r="C143" s="119">
        <f t="shared" si="45"/>
        <v>0</v>
      </c>
      <c r="D143" s="119">
        <f t="shared" si="30"/>
        <v>93.931391465170819</v>
      </c>
      <c r="E143" s="119">
        <f t="shared" si="46"/>
        <v>0</v>
      </c>
      <c r="F143" s="119">
        <f t="shared" si="29"/>
        <v>93.931391465170819</v>
      </c>
      <c r="G143" s="119">
        <v>0</v>
      </c>
      <c r="H143" s="119">
        <f t="shared" si="40"/>
        <v>93.931391465170819</v>
      </c>
      <c r="J143" s="119">
        <f>VLOOKUP(A143,'ESAI - Q3 - Base Case'!$A$5:$J$342,10)</f>
        <v>56.117832173054552</v>
      </c>
      <c r="K143" s="119">
        <f t="shared" si="41"/>
        <v>0</v>
      </c>
      <c r="L143" s="119">
        <f t="shared" si="39"/>
        <v>57.801367138246192</v>
      </c>
      <c r="M143" s="119">
        <f t="shared" si="42"/>
        <v>0</v>
      </c>
      <c r="N143" s="119">
        <f t="shared" si="43"/>
        <v>57.801367138246192</v>
      </c>
      <c r="O143" s="119">
        <v>0</v>
      </c>
      <c r="P143" s="119">
        <f t="shared" si="44"/>
        <v>57.801367138246192</v>
      </c>
    </row>
    <row r="144" spans="1:16" x14ac:dyDescent="0.2">
      <c r="A144" s="188">
        <v>46966</v>
      </c>
      <c r="B144" s="119">
        <f>VLOOKUP(A144,'ESAI - Q3 - Base Case'!$A$5:$J$342,9)</f>
        <v>71.29997347901525</v>
      </c>
      <c r="C144" s="119">
        <f t="shared" si="45"/>
        <v>0</v>
      </c>
      <c r="D144" s="119">
        <f t="shared" si="30"/>
        <v>73.438972683385714</v>
      </c>
      <c r="E144" s="119">
        <f t="shared" si="46"/>
        <v>0</v>
      </c>
      <c r="F144" s="119">
        <f t="shared" si="29"/>
        <v>73.438972683385714</v>
      </c>
      <c r="G144" s="119">
        <v>0</v>
      </c>
      <c r="H144" s="119">
        <f t="shared" si="40"/>
        <v>73.438972683385714</v>
      </c>
      <c r="J144" s="119">
        <f>VLOOKUP(A144,'ESAI - Q3 - Base Case'!$A$5:$J$342,10)</f>
        <v>55.252463068356455</v>
      </c>
      <c r="K144" s="119">
        <f t="shared" si="41"/>
        <v>0</v>
      </c>
      <c r="L144" s="119">
        <f t="shared" si="39"/>
        <v>56.910036960407147</v>
      </c>
      <c r="M144" s="119">
        <f t="shared" si="42"/>
        <v>0</v>
      </c>
      <c r="N144" s="119">
        <f t="shared" si="43"/>
        <v>56.910036960407147</v>
      </c>
      <c r="O144" s="119">
        <v>0</v>
      </c>
      <c r="P144" s="119">
        <f t="shared" si="44"/>
        <v>56.910036960407147</v>
      </c>
    </row>
    <row r="145" spans="1:16" x14ac:dyDescent="0.2">
      <c r="A145" s="188">
        <v>46997</v>
      </c>
      <c r="B145" s="119">
        <f>VLOOKUP(A145,'ESAI - Q3 - Base Case'!$A$5:$J$342,9)</f>
        <v>59.989679925101925</v>
      </c>
      <c r="C145" s="119">
        <f t="shared" si="45"/>
        <v>0</v>
      </c>
      <c r="D145" s="119">
        <f t="shared" si="30"/>
        <v>61.789370322854985</v>
      </c>
      <c r="E145" s="119">
        <f t="shared" si="46"/>
        <v>0</v>
      </c>
      <c r="F145" s="119">
        <f t="shared" si="29"/>
        <v>61.789370322854985</v>
      </c>
      <c r="G145" s="119">
        <v>0</v>
      </c>
      <c r="H145" s="119">
        <f t="shared" si="40"/>
        <v>61.789370322854985</v>
      </c>
      <c r="J145" s="119">
        <f>VLOOKUP(A145,'ESAI - Q3 - Base Case'!$A$5:$J$342,10)</f>
        <v>52.534527503746176</v>
      </c>
      <c r="K145" s="119">
        <f t="shared" si="41"/>
        <v>0</v>
      </c>
      <c r="L145" s="119">
        <f t="shared" si="39"/>
        <v>54.110563328858561</v>
      </c>
      <c r="M145" s="119">
        <f t="shared" si="42"/>
        <v>0</v>
      </c>
      <c r="N145" s="119">
        <f t="shared" si="43"/>
        <v>54.110563328858561</v>
      </c>
      <c r="O145" s="119">
        <v>0</v>
      </c>
      <c r="P145" s="119">
        <f t="shared" si="44"/>
        <v>54.110563328858561</v>
      </c>
    </row>
    <row r="146" spans="1:16" x14ac:dyDescent="0.2">
      <c r="A146" s="188">
        <v>47027</v>
      </c>
      <c r="B146" s="119">
        <f>VLOOKUP(A146,'ESAI - Q3 - Base Case'!$A$5:$J$342,9)</f>
        <v>57.389236885693443</v>
      </c>
      <c r="C146" s="119">
        <f t="shared" si="45"/>
        <v>0</v>
      </c>
      <c r="D146" s="119">
        <f t="shared" si="30"/>
        <v>59.110913992264244</v>
      </c>
      <c r="E146" s="119">
        <f t="shared" si="46"/>
        <v>0</v>
      </c>
      <c r="F146" s="119">
        <f t="shared" si="29"/>
        <v>59.110913992264244</v>
      </c>
      <c r="G146" s="119">
        <v>0</v>
      </c>
      <c r="H146" s="119">
        <f t="shared" si="40"/>
        <v>59.110913992264244</v>
      </c>
      <c r="J146" s="119">
        <f>VLOOKUP(A146,'ESAI - Q3 - Base Case'!$A$5:$J$342,10)</f>
        <v>50.210558464429425</v>
      </c>
      <c r="K146" s="119">
        <f t="shared" si="41"/>
        <v>0</v>
      </c>
      <c r="L146" s="119">
        <f t="shared" si="39"/>
        <v>51.716875218362311</v>
      </c>
      <c r="M146" s="119">
        <f t="shared" si="42"/>
        <v>0</v>
      </c>
      <c r="N146" s="119">
        <f t="shared" si="43"/>
        <v>51.716875218362311</v>
      </c>
      <c r="O146" s="119">
        <v>0</v>
      </c>
      <c r="P146" s="119">
        <f t="shared" si="44"/>
        <v>51.716875218362311</v>
      </c>
    </row>
    <row r="147" spans="1:16" x14ac:dyDescent="0.2">
      <c r="A147" s="188">
        <v>47058</v>
      </c>
      <c r="B147" s="119">
        <f>VLOOKUP(A147,'ESAI - Q3 - Base Case'!$A$5:$J$342,9)</f>
        <v>65.937609223224882</v>
      </c>
      <c r="C147" s="119">
        <f t="shared" si="45"/>
        <v>0</v>
      </c>
      <c r="D147" s="119">
        <f t="shared" si="30"/>
        <v>67.915737499921633</v>
      </c>
      <c r="E147" s="119">
        <f t="shared" si="46"/>
        <v>0</v>
      </c>
      <c r="F147" s="119">
        <f t="shared" ref="F147:F210" si="47">D147-E147</f>
        <v>67.915737499921633</v>
      </c>
      <c r="G147" s="119">
        <v>0</v>
      </c>
      <c r="H147" s="119">
        <f t="shared" si="40"/>
        <v>67.915737499921633</v>
      </c>
      <c r="J147" s="119">
        <f>VLOOKUP(A147,'ESAI - Q3 - Base Case'!$A$5:$J$342,10)</f>
        <v>55.312629421768037</v>
      </c>
      <c r="K147" s="119">
        <f t="shared" si="41"/>
        <v>0</v>
      </c>
      <c r="L147" s="119">
        <f t="shared" si="39"/>
        <v>56.972008304421081</v>
      </c>
      <c r="M147" s="119">
        <f t="shared" si="42"/>
        <v>0</v>
      </c>
      <c r="N147" s="119">
        <f t="shared" si="43"/>
        <v>56.972008304421081</v>
      </c>
      <c r="O147" s="119">
        <v>0</v>
      </c>
      <c r="P147" s="119">
        <f t="shared" si="44"/>
        <v>56.972008304421081</v>
      </c>
    </row>
    <row r="148" spans="1:16" x14ac:dyDescent="0.2">
      <c r="A148" s="188">
        <v>47088</v>
      </c>
      <c r="B148" s="119">
        <f>VLOOKUP(A148,'ESAI - Q3 - Base Case'!$A$5:$J$342,9)</f>
        <v>95.212585333377532</v>
      </c>
      <c r="C148" s="119">
        <f t="shared" si="45"/>
        <v>0</v>
      </c>
      <c r="D148" s="119">
        <f t="shared" ref="D148:D211" si="48">SUM(B148:C148)*ForEx</f>
        <v>98.068962893378867</v>
      </c>
      <c r="E148" s="119">
        <f t="shared" si="46"/>
        <v>0</v>
      </c>
      <c r="F148" s="119">
        <f t="shared" si="47"/>
        <v>98.068962893378867</v>
      </c>
      <c r="G148" s="119">
        <v>0</v>
      </c>
      <c r="H148" s="119">
        <f t="shared" si="40"/>
        <v>98.068962893378867</v>
      </c>
      <c r="J148" s="119">
        <f>VLOOKUP(A148,'ESAI - Q3 - Base Case'!$A$5:$J$342,10)</f>
        <v>72.04259200617598</v>
      </c>
      <c r="K148" s="119">
        <f t="shared" si="41"/>
        <v>0</v>
      </c>
      <c r="L148" s="119">
        <f t="shared" si="39"/>
        <v>74.203869766361265</v>
      </c>
      <c r="M148" s="119">
        <f t="shared" si="42"/>
        <v>0</v>
      </c>
      <c r="N148" s="119">
        <f t="shared" si="43"/>
        <v>74.203869766361265</v>
      </c>
      <c r="O148" s="119">
        <v>0</v>
      </c>
      <c r="P148" s="119">
        <f t="shared" si="44"/>
        <v>74.203869766361265</v>
      </c>
    </row>
    <row r="149" spans="1:16" x14ac:dyDescent="0.2">
      <c r="A149" s="188">
        <v>47119</v>
      </c>
      <c r="B149" s="119">
        <f>VLOOKUP(A149,'ESAI - Q3 - Base Case'!$A$5:$J$342,9)</f>
        <v>133.41457472236337</v>
      </c>
      <c r="C149" s="119">
        <f>C137*(1+'Firm Purchase Revenue Reqmnt'!$I$71)</f>
        <v>0</v>
      </c>
      <c r="D149" s="119">
        <f t="shared" si="48"/>
        <v>137.41701196403429</v>
      </c>
      <c r="E149" s="120">
        <f>E137*(1+$E$2)</f>
        <v>0</v>
      </c>
      <c r="F149" s="119">
        <f t="shared" si="47"/>
        <v>137.41701196403429</v>
      </c>
      <c r="G149" s="120">
        <v>0</v>
      </c>
      <c r="H149" s="119">
        <f t="shared" si="40"/>
        <v>137.41701196403429</v>
      </c>
      <c r="J149" s="119">
        <f>VLOOKUP(A149,'ESAI - Q3 - Base Case'!$A$5:$J$342,10)</f>
        <v>90.14572562341381</v>
      </c>
      <c r="K149" s="119">
        <f t="shared" si="41"/>
        <v>0</v>
      </c>
      <c r="L149" s="119">
        <f t="shared" si="39"/>
        <v>92.850097392116226</v>
      </c>
      <c r="M149" s="120">
        <f t="shared" si="42"/>
        <v>0</v>
      </c>
      <c r="N149" s="119">
        <f t="shared" si="43"/>
        <v>92.850097392116226</v>
      </c>
      <c r="O149" s="120">
        <v>0</v>
      </c>
      <c r="P149" s="119">
        <f t="shared" si="44"/>
        <v>92.850097392116226</v>
      </c>
    </row>
    <row r="150" spans="1:16" x14ac:dyDescent="0.2">
      <c r="A150" s="188">
        <v>47150</v>
      </c>
      <c r="B150" s="119">
        <f>VLOOKUP(A150,'ESAI - Q3 - Base Case'!$A$5:$J$342,9)</f>
        <v>96.776372351582197</v>
      </c>
      <c r="C150" s="119">
        <f>C149</f>
        <v>0</v>
      </c>
      <c r="D150" s="119">
        <f t="shared" si="48"/>
        <v>99.679663522129658</v>
      </c>
      <c r="E150" s="119">
        <f>E149</f>
        <v>0</v>
      </c>
      <c r="F150" s="119">
        <f t="shared" si="47"/>
        <v>99.679663522129658</v>
      </c>
      <c r="G150" s="119">
        <v>0</v>
      </c>
      <c r="H150" s="119">
        <f t="shared" si="40"/>
        <v>99.679663522129658</v>
      </c>
      <c r="J150" s="119">
        <f>VLOOKUP(A150,'ESAI - Q3 - Base Case'!$A$5:$J$342,10)</f>
        <v>81.147103595384863</v>
      </c>
      <c r="K150" s="119">
        <f t="shared" si="41"/>
        <v>0</v>
      </c>
      <c r="L150" s="119">
        <f t="shared" si="39"/>
        <v>83.581516703246407</v>
      </c>
      <c r="M150" s="119">
        <f t="shared" si="42"/>
        <v>0</v>
      </c>
      <c r="N150" s="119">
        <f t="shared" si="43"/>
        <v>83.581516703246407</v>
      </c>
      <c r="O150" s="119">
        <v>0</v>
      </c>
      <c r="P150" s="119">
        <f t="shared" si="44"/>
        <v>83.581516703246407</v>
      </c>
    </row>
    <row r="151" spans="1:16" x14ac:dyDescent="0.2">
      <c r="A151" s="188">
        <v>47178</v>
      </c>
      <c r="B151" s="119">
        <f>VLOOKUP(A151,'ESAI - Q3 - Base Case'!$A$5:$J$342,9)</f>
        <v>68.119463142019057</v>
      </c>
      <c r="C151" s="119">
        <f t="shared" ref="C151:C160" si="49">C150</f>
        <v>0</v>
      </c>
      <c r="D151" s="119">
        <f t="shared" si="48"/>
        <v>70.163047036279636</v>
      </c>
      <c r="E151" s="119">
        <f t="shared" ref="E151:E160" si="50">E150</f>
        <v>0</v>
      </c>
      <c r="F151" s="119">
        <f t="shared" si="47"/>
        <v>70.163047036279636</v>
      </c>
      <c r="G151" s="119">
        <v>0</v>
      </c>
      <c r="H151" s="119">
        <f t="shared" si="40"/>
        <v>70.163047036279636</v>
      </c>
      <c r="J151" s="119">
        <f>VLOOKUP(A151,'ESAI - Q3 - Base Case'!$A$5:$J$342,10)</f>
        <v>57.09609309162304</v>
      </c>
      <c r="K151" s="119">
        <f t="shared" si="41"/>
        <v>0</v>
      </c>
      <c r="L151" s="119">
        <f t="shared" si="39"/>
        <v>58.808975884371733</v>
      </c>
      <c r="M151" s="119">
        <f t="shared" si="42"/>
        <v>0</v>
      </c>
      <c r="N151" s="119">
        <f t="shared" si="43"/>
        <v>58.808975884371733</v>
      </c>
      <c r="O151" s="119">
        <v>0</v>
      </c>
      <c r="P151" s="119">
        <f t="shared" si="44"/>
        <v>58.808975884371733</v>
      </c>
    </row>
    <row r="152" spans="1:16" x14ac:dyDescent="0.2">
      <c r="A152" s="188">
        <v>47209</v>
      </c>
      <c r="B152" s="119">
        <f>VLOOKUP(A152,'ESAI - Q3 - Base Case'!$A$5:$J$342,9)</f>
        <v>63.685287200102934</v>
      </c>
      <c r="C152" s="119">
        <f t="shared" si="49"/>
        <v>0</v>
      </c>
      <c r="D152" s="119">
        <f t="shared" si="48"/>
        <v>65.595845816106021</v>
      </c>
      <c r="E152" s="119">
        <f t="shared" si="50"/>
        <v>0</v>
      </c>
      <c r="F152" s="119">
        <f t="shared" si="47"/>
        <v>65.595845816106021</v>
      </c>
      <c r="G152" s="119">
        <v>0</v>
      </c>
      <c r="H152" s="119">
        <f t="shared" si="40"/>
        <v>65.595845816106021</v>
      </c>
      <c r="J152" s="119">
        <f>VLOOKUP(A152,'ESAI - Q3 - Base Case'!$A$5:$J$342,10)</f>
        <v>51.213192488296336</v>
      </c>
      <c r="K152" s="119">
        <f t="shared" si="41"/>
        <v>0</v>
      </c>
      <c r="L152" s="119">
        <f t="shared" si="39"/>
        <v>52.749588262945231</v>
      </c>
      <c r="M152" s="119">
        <f t="shared" si="42"/>
        <v>0</v>
      </c>
      <c r="N152" s="119">
        <f t="shared" si="43"/>
        <v>52.749588262945231</v>
      </c>
      <c r="O152" s="119">
        <v>0</v>
      </c>
      <c r="P152" s="119">
        <f t="shared" si="44"/>
        <v>52.749588262945231</v>
      </c>
    </row>
    <row r="153" spans="1:16" x14ac:dyDescent="0.2">
      <c r="A153" s="188">
        <v>47239</v>
      </c>
      <c r="B153" s="119">
        <f>VLOOKUP(A153,'ESAI - Q3 - Base Case'!$A$5:$J$342,9)</f>
        <v>71.967864530346048</v>
      </c>
      <c r="C153" s="119">
        <f t="shared" si="49"/>
        <v>0</v>
      </c>
      <c r="D153" s="119">
        <f t="shared" si="48"/>
        <v>74.12690046625643</v>
      </c>
      <c r="E153" s="119">
        <f t="shared" si="50"/>
        <v>0</v>
      </c>
      <c r="F153" s="119">
        <f t="shared" si="47"/>
        <v>74.12690046625643</v>
      </c>
      <c r="G153" s="119">
        <v>0</v>
      </c>
      <c r="H153" s="119">
        <f t="shared" si="40"/>
        <v>74.12690046625643</v>
      </c>
      <c r="J153" s="119">
        <f>VLOOKUP(A153,'ESAI - Q3 - Base Case'!$A$5:$J$342,10)</f>
        <v>53.067841988312175</v>
      </c>
      <c r="K153" s="119">
        <f t="shared" si="41"/>
        <v>0</v>
      </c>
      <c r="L153" s="119">
        <f t="shared" si="39"/>
        <v>54.659877247961539</v>
      </c>
      <c r="M153" s="119">
        <f t="shared" si="42"/>
        <v>0</v>
      </c>
      <c r="N153" s="119">
        <f t="shared" si="43"/>
        <v>54.659877247961539</v>
      </c>
      <c r="O153" s="119">
        <v>0</v>
      </c>
      <c r="P153" s="119">
        <f t="shared" si="44"/>
        <v>54.659877247961539</v>
      </c>
    </row>
    <row r="154" spans="1:16" x14ac:dyDescent="0.2">
      <c r="A154" s="188">
        <v>47270</v>
      </c>
      <c r="B154" s="119">
        <f>VLOOKUP(A154,'ESAI - Q3 - Base Case'!$A$5:$J$342,9)</f>
        <v>76.181126393345536</v>
      </c>
      <c r="C154" s="119">
        <f t="shared" si="49"/>
        <v>0</v>
      </c>
      <c r="D154" s="119">
        <f t="shared" si="48"/>
        <v>78.466560185145909</v>
      </c>
      <c r="E154" s="119">
        <f t="shared" si="50"/>
        <v>0</v>
      </c>
      <c r="F154" s="119">
        <f t="shared" si="47"/>
        <v>78.466560185145909</v>
      </c>
      <c r="G154" s="119">
        <v>0</v>
      </c>
      <c r="H154" s="119">
        <f t="shared" si="40"/>
        <v>78.466560185145909</v>
      </c>
      <c r="J154" s="119">
        <f>VLOOKUP(A154,'ESAI - Q3 - Base Case'!$A$5:$J$342,10)</f>
        <v>54.362765679624225</v>
      </c>
      <c r="K154" s="119">
        <f t="shared" si="41"/>
        <v>0</v>
      </c>
      <c r="L154" s="119">
        <f t="shared" si="39"/>
        <v>55.99364865001295</v>
      </c>
      <c r="M154" s="119">
        <f t="shared" si="42"/>
        <v>0</v>
      </c>
      <c r="N154" s="119">
        <f t="shared" si="43"/>
        <v>55.99364865001295</v>
      </c>
      <c r="O154" s="119">
        <v>0</v>
      </c>
      <c r="P154" s="119">
        <f t="shared" si="44"/>
        <v>55.99364865001295</v>
      </c>
    </row>
    <row r="155" spans="1:16" x14ac:dyDescent="0.2">
      <c r="A155" s="188">
        <v>47300</v>
      </c>
      <c r="B155" s="119">
        <f>VLOOKUP(A155,'ESAI - Q3 - Base Case'!$A$5:$J$342,9)</f>
        <v>93.019436208227418</v>
      </c>
      <c r="C155" s="119">
        <f t="shared" si="49"/>
        <v>0</v>
      </c>
      <c r="D155" s="119">
        <f t="shared" si="48"/>
        <v>95.810019294474245</v>
      </c>
      <c r="E155" s="119">
        <f t="shared" si="50"/>
        <v>0</v>
      </c>
      <c r="F155" s="119">
        <f t="shared" si="47"/>
        <v>95.810019294474245</v>
      </c>
      <c r="G155" s="119">
        <v>0</v>
      </c>
      <c r="H155" s="119">
        <f t="shared" si="40"/>
        <v>95.810019294474245</v>
      </c>
      <c r="J155" s="119">
        <f>VLOOKUP(A155,'ESAI - Q3 - Base Case'!$A$5:$J$342,10)</f>
        <v>57.240188816515641</v>
      </c>
      <c r="K155" s="119">
        <f t="shared" si="41"/>
        <v>0</v>
      </c>
      <c r="L155" s="119">
        <f t="shared" si="39"/>
        <v>58.957394481011114</v>
      </c>
      <c r="M155" s="119">
        <f t="shared" si="42"/>
        <v>0</v>
      </c>
      <c r="N155" s="119">
        <f t="shared" si="43"/>
        <v>58.957394481011114</v>
      </c>
      <c r="O155" s="119">
        <v>0</v>
      </c>
      <c r="P155" s="119">
        <f t="shared" si="44"/>
        <v>58.957394481011114</v>
      </c>
    </row>
    <row r="156" spans="1:16" x14ac:dyDescent="0.2">
      <c r="A156" s="188">
        <v>47331</v>
      </c>
      <c r="B156" s="119">
        <f>VLOOKUP(A156,'ESAI - Q3 - Base Case'!$A$5:$J$342,9)</f>
        <v>72.725972948595555</v>
      </c>
      <c r="C156" s="119">
        <f t="shared" si="49"/>
        <v>0</v>
      </c>
      <c r="D156" s="119">
        <f t="shared" si="48"/>
        <v>74.907752137053421</v>
      </c>
      <c r="E156" s="119">
        <f t="shared" si="50"/>
        <v>0</v>
      </c>
      <c r="F156" s="119">
        <f t="shared" si="47"/>
        <v>74.907752137053421</v>
      </c>
      <c r="G156" s="119">
        <v>0</v>
      </c>
      <c r="H156" s="119">
        <f t="shared" si="40"/>
        <v>74.907752137053421</v>
      </c>
      <c r="J156" s="119">
        <f>VLOOKUP(A156,'ESAI - Q3 - Base Case'!$A$5:$J$342,10)</f>
        <v>56.357512329723583</v>
      </c>
      <c r="K156" s="119">
        <f t="shared" si="41"/>
        <v>0</v>
      </c>
      <c r="L156" s="119">
        <f t="shared" si="39"/>
        <v>58.048237699615292</v>
      </c>
      <c r="M156" s="119">
        <f t="shared" si="42"/>
        <v>0</v>
      </c>
      <c r="N156" s="119">
        <f t="shared" si="43"/>
        <v>58.048237699615292</v>
      </c>
      <c r="O156" s="119">
        <v>0</v>
      </c>
      <c r="P156" s="119">
        <f t="shared" si="44"/>
        <v>58.048237699615292</v>
      </c>
    </row>
    <row r="157" spans="1:16" x14ac:dyDescent="0.2">
      <c r="A157" s="188">
        <v>47362</v>
      </c>
      <c r="B157" s="119">
        <f>VLOOKUP(A157,'ESAI - Q3 - Base Case'!$A$5:$J$342,9)</f>
        <v>61.189473523603965</v>
      </c>
      <c r="C157" s="119">
        <f t="shared" si="49"/>
        <v>0</v>
      </c>
      <c r="D157" s="119">
        <f t="shared" si="48"/>
        <v>63.025157729312085</v>
      </c>
      <c r="E157" s="119">
        <f t="shared" si="50"/>
        <v>0</v>
      </c>
      <c r="F157" s="119">
        <f t="shared" si="47"/>
        <v>63.025157729312085</v>
      </c>
      <c r="G157" s="119">
        <v>0</v>
      </c>
      <c r="H157" s="119">
        <f t="shared" si="40"/>
        <v>63.025157729312085</v>
      </c>
      <c r="J157" s="119">
        <f>VLOOKUP(A157,'ESAI - Q3 - Base Case'!$A$5:$J$342,10)</f>
        <v>53.585218053821102</v>
      </c>
      <c r="K157" s="119">
        <f t="shared" si="41"/>
        <v>0</v>
      </c>
      <c r="L157" s="119">
        <f t="shared" si="39"/>
        <v>55.192774595435736</v>
      </c>
      <c r="M157" s="119">
        <f t="shared" si="42"/>
        <v>0</v>
      </c>
      <c r="N157" s="119">
        <f t="shared" si="43"/>
        <v>55.192774595435736</v>
      </c>
      <c r="O157" s="119">
        <v>0</v>
      </c>
      <c r="P157" s="119">
        <f t="shared" si="44"/>
        <v>55.192774595435736</v>
      </c>
    </row>
    <row r="158" spans="1:16" x14ac:dyDescent="0.2">
      <c r="A158" s="188">
        <v>47392</v>
      </c>
      <c r="B158" s="119">
        <f>VLOOKUP(A158,'ESAI - Q3 - Base Case'!$A$5:$J$342,9)</f>
        <v>58.537021623407313</v>
      </c>
      <c r="C158" s="119">
        <f t="shared" si="49"/>
        <v>0</v>
      </c>
      <c r="D158" s="119">
        <f t="shared" si="48"/>
        <v>60.293132272109531</v>
      </c>
      <c r="E158" s="119">
        <f t="shared" si="50"/>
        <v>0</v>
      </c>
      <c r="F158" s="119">
        <f t="shared" si="47"/>
        <v>60.293132272109531</v>
      </c>
      <c r="G158" s="119">
        <v>0</v>
      </c>
      <c r="H158" s="119">
        <f t="shared" si="40"/>
        <v>60.293132272109531</v>
      </c>
      <c r="J158" s="119">
        <f>VLOOKUP(A158,'ESAI - Q3 - Base Case'!$A$5:$J$342,10)</f>
        <v>51.214769633718014</v>
      </c>
      <c r="K158" s="119">
        <f t="shared" si="41"/>
        <v>0</v>
      </c>
      <c r="L158" s="119">
        <f t="shared" si="39"/>
        <v>52.751212722729555</v>
      </c>
      <c r="M158" s="119">
        <f t="shared" si="42"/>
        <v>0</v>
      </c>
      <c r="N158" s="119">
        <f t="shared" si="43"/>
        <v>52.751212722729555</v>
      </c>
      <c r="O158" s="119">
        <v>0</v>
      </c>
      <c r="P158" s="119">
        <f t="shared" si="44"/>
        <v>52.751212722729555</v>
      </c>
    </row>
    <row r="159" spans="1:16" x14ac:dyDescent="0.2">
      <c r="A159" s="188">
        <v>47423</v>
      </c>
      <c r="B159" s="119">
        <f>VLOOKUP(A159,'ESAI - Q3 - Base Case'!$A$5:$J$342,9)</f>
        <v>67.256361407689383</v>
      </c>
      <c r="C159" s="119">
        <f t="shared" si="49"/>
        <v>0</v>
      </c>
      <c r="D159" s="119">
        <f t="shared" si="48"/>
        <v>69.274052249920061</v>
      </c>
      <c r="E159" s="119">
        <f t="shared" si="50"/>
        <v>0</v>
      </c>
      <c r="F159" s="119">
        <f t="shared" si="47"/>
        <v>69.274052249920061</v>
      </c>
      <c r="G159" s="119">
        <v>0</v>
      </c>
      <c r="H159" s="119">
        <f t="shared" si="40"/>
        <v>69.274052249920061</v>
      </c>
      <c r="J159" s="119">
        <f>VLOOKUP(A159,'ESAI - Q3 - Base Case'!$A$5:$J$342,10)</f>
        <v>56.418882010203397</v>
      </c>
      <c r="K159" s="119">
        <f t="shared" si="41"/>
        <v>0</v>
      </c>
      <c r="L159" s="119">
        <f t="shared" si="39"/>
        <v>58.111448470509501</v>
      </c>
      <c r="M159" s="119">
        <f t="shared" si="42"/>
        <v>0</v>
      </c>
      <c r="N159" s="119">
        <f t="shared" si="43"/>
        <v>58.111448470509501</v>
      </c>
      <c r="O159" s="119">
        <v>0</v>
      </c>
      <c r="P159" s="119">
        <f t="shared" si="44"/>
        <v>58.111448470509501</v>
      </c>
    </row>
    <row r="160" spans="1:16" x14ac:dyDescent="0.2">
      <c r="A160" s="188">
        <v>47453</v>
      </c>
      <c r="B160" s="119">
        <f>VLOOKUP(A160,'ESAI - Q3 - Base Case'!$A$5:$J$342,9)</f>
        <v>97.116837040045084</v>
      </c>
      <c r="C160" s="119">
        <f t="shared" si="49"/>
        <v>0</v>
      </c>
      <c r="D160" s="119">
        <f t="shared" si="48"/>
        <v>100.03034215124644</v>
      </c>
      <c r="E160" s="119">
        <f t="shared" si="50"/>
        <v>0</v>
      </c>
      <c r="F160" s="119">
        <f t="shared" si="47"/>
        <v>100.03034215124644</v>
      </c>
      <c r="G160" s="119">
        <v>0</v>
      </c>
      <c r="H160" s="119">
        <f t="shared" si="40"/>
        <v>100.03034215124644</v>
      </c>
      <c r="J160" s="119">
        <f>VLOOKUP(A160,'ESAI - Q3 - Base Case'!$A$5:$J$342,10)</f>
        <v>73.483443846299494</v>
      </c>
      <c r="K160" s="119">
        <f t="shared" si="41"/>
        <v>0</v>
      </c>
      <c r="L160" s="119">
        <f t="shared" si="39"/>
        <v>75.687947161688484</v>
      </c>
      <c r="M160" s="119">
        <f t="shared" si="42"/>
        <v>0</v>
      </c>
      <c r="N160" s="119">
        <f t="shared" si="43"/>
        <v>75.687947161688484</v>
      </c>
      <c r="O160" s="119">
        <v>0</v>
      </c>
      <c r="P160" s="119">
        <f t="shared" si="44"/>
        <v>75.687947161688484</v>
      </c>
    </row>
    <row r="161" spans="1:16" x14ac:dyDescent="0.2">
      <c r="A161" s="188">
        <v>47484</v>
      </c>
      <c r="B161" s="119">
        <f>VLOOKUP(A161,'ESAI - Q3 - Base Case'!$A$5:$J$342,9)</f>
        <v>136.08286621681063</v>
      </c>
      <c r="C161" s="119">
        <f>C149*(1+'Firm Purchase Revenue Reqmnt'!$I$71)</f>
        <v>0</v>
      </c>
      <c r="D161" s="119">
        <f t="shared" si="48"/>
        <v>140.16535220331494</v>
      </c>
      <c r="E161" s="120">
        <f>E149*(1+$E$2)</f>
        <v>0</v>
      </c>
      <c r="F161" s="119">
        <f t="shared" si="47"/>
        <v>140.16535220331494</v>
      </c>
      <c r="G161" s="120">
        <v>0</v>
      </c>
      <c r="H161" s="119">
        <f t="shared" si="40"/>
        <v>140.16535220331494</v>
      </c>
      <c r="J161" s="119">
        <f>VLOOKUP(A161,'ESAI - Q3 - Base Case'!$A$5:$J$342,10)</f>
        <v>91.948640135882087</v>
      </c>
      <c r="K161" s="119">
        <f t="shared" si="41"/>
        <v>0</v>
      </c>
      <c r="L161" s="119">
        <f t="shared" si="39"/>
        <v>94.707099339958546</v>
      </c>
      <c r="M161" s="120">
        <f t="shared" si="42"/>
        <v>0</v>
      </c>
      <c r="N161" s="119">
        <f t="shared" si="43"/>
        <v>94.707099339958546</v>
      </c>
      <c r="O161" s="120">
        <v>0</v>
      </c>
      <c r="P161" s="119">
        <f t="shared" si="44"/>
        <v>94.707099339958546</v>
      </c>
    </row>
    <row r="162" spans="1:16" x14ac:dyDescent="0.2">
      <c r="A162" s="188">
        <v>47515</v>
      </c>
      <c r="B162" s="119">
        <f>VLOOKUP(A162,'ESAI - Q3 - Base Case'!$A$5:$J$342,9)</f>
        <v>98.711899798613842</v>
      </c>
      <c r="C162" s="119">
        <f>C161</f>
        <v>0</v>
      </c>
      <c r="D162" s="119">
        <f t="shared" si="48"/>
        <v>101.67325679257226</v>
      </c>
      <c r="E162" s="119">
        <f>E161</f>
        <v>0</v>
      </c>
      <c r="F162" s="119">
        <f t="shared" si="47"/>
        <v>101.67325679257226</v>
      </c>
      <c r="G162" s="119">
        <v>0</v>
      </c>
      <c r="H162" s="119">
        <f t="shared" si="40"/>
        <v>101.67325679257226</v>
      </c>
      <c r="J162" s="119">
        <f>VLOOKUP(A162,'ESAI - Q3 - Base Case'!$A$5:$J$342,10)</f>
        <v>82.770045667292564</v>
      </c>
      <c r="K162" s="119">
        <f t="shared" si="41"/>
        <v>0</v>
      </c>
      <c r="L162" s="119">
        <f t="shared" si="39"/>
        <v>85.253147037311336</v>
      </c>
      <c r="M162" s="119">
        <f t="shared" si="42"/>
        <v>0</v>
      </c>
      <c r="N162" s="119">
        <f t="shared" si="43"/>
        <v>85.253147037311336</v>
      </c>
      <c r="O162" s="119">
        <v>0</v>
      </c>
      <c r="P162" s="119">
        <f t="shared" si="44"/>
        <v>85.253147037311336</v>
      </c>
    </row>
    <row r="163" spans="1:16" x14ac:dyDescent="0.2">
      <c r="A163" s="188">
        <v>47543</v>
      </c>
      <c r="B163" s="119">
        <f>VLOOKUP(A163,'ESAI - Q3 - Base Case'!$A$5:$J$342,9)</f>
        <v>69.481852404859438</v>
      </c>
      <c r="C163" s="119">
        <f t="shared" ref="C163:C172" si="51">C162</f>
        <v>0</v>
      </c>
      <c r="D163" s="119">
        <f t="shared" si="48"/>
        <v>71.566307977005224</v>
      </c>
      <c r="E163" s="119">
        <f t="shared" ref="E163:E172" si="52">E162</f>
        <v>0</v>
      </c>
      <c r="F163" s="119">
        <f t="shared" si="47"/>
        <v>71.566307977005224</v>
      </c>
      <c r="G163" s="119">
        <v>0</v>
      </c>
      <c r="H163" s="119">
        <f t="shared" si="40"/>
        <v>71.566307977005224</v>
      </c>
      <c r="J163" s="119">
        <f>VLOOKUP(A163,'ESAI - Q3 - Base Case'!$A$5:$J$342,10)</f>
        <v>58.238014953455504</v>
      </c>
      <c r="K163" s="119">
        <f t="shared" si="41"/>
        <v>0</v>
      </c>
      <c r="L163" s="119">
        <f t="shared" si="39"/>
        <v>59.985155402059171</v>
      </c>
      <c r="M163" s="119">
        <f t="shared" si="42"/>
        <v>0</v>
      </c>
      <c r="N163" s="119">
        <f t="shared" si="43"/>
        <v>59.985155402059171</v>
      </c>
      <c r="O163" s="119">
        <v>0</v>
      </c>
      <c r="P163" s="119">
        <f t="shared" si="44"/>
        <v>59.985155402059171</v>
      </c>
    </row>
    <row r="164" spans="1:16" x14ac:dyDescent="0.2">
      <c r="A164" s="188">
        <v>47574</v>
      </c>
      <c r="B164" s="119">
        <f>VLOOKUP(A164,'ESAI - Q3 - Base Case'!$A$5:$J$342,9)</f>
        <v>64.958992944104992</v>
      </c>
      <c r="C164" s="119">
        <f t="shared" si="51"/>
        <v>0</v>
      </c>
      <c r="D164" s="119">
        <f t="shared" si="48"/>
        <v>66.907762732428139</v>
      </c>
      <c r="E164" s="119">
        <f t="shared" si="52"/>
        <v>0</v>
      </c>
      <c r="F164" s="119">
        <f t="shared" si="47"/>
        <v>66.907762732428139</v>
      </c>
      <c r="G164" s="119">
        <v>0</v>
      </c>
      <c r="H164" s="119">
        <f t="shared" si="40"/>
        <v>66.907762732428139</v>
      </c>
      <c r="J164" s="119">
        <f>VLOOKUP(A164,'ESAI - Q3 - Base Case'!$A$5:$J$342,10)</f>
        <v>52.237456338062266</v>
      </c>
      <c r="K164" s="119">
        <f t="shared" si="41"/>
        <v>0</v>
      </c>
      <c r="L164" s="119">
        <f t="shared" si="39"/>
        <v>53.804580028204136</v>
      </c>
      <c r="M164" s="119">
        <f t="shared" si="42"/>
        <v>0</v>
      </c>
      <c r="N164" s="119">
        <f t="shared" si="43"/>
        <v>53.804580028204136</v>
      </c>
      <c r="O164" s="119">
        <v>0</v>
      </c>
      <c r="P164" s="119">
        <f t="shared" si="44"/>
        <v>53.804580028204136</v>
      </c>
    </row>
    <row r="165" spans="1:16" x14ac:dyDescent="0.2">
      <c r="A165" s="188">
        <v>47604</v>
      </c>
      <c r="B165" s="119">
        <f>VLOOKUP(A165,'ESAI - Q3 - Base Case'!$A$5:$J$342,9)</f>
        <v>73.407221820952969</v>
      </c>
      <c r="C165" s="119">
        <f t="shared" si="51"/>
        <v>0</v>
      </c>
      <c r="D165" s="119">
        <f t="shared" si="48"/>
        <v>75.609438475581555</v>
      </c>
      <c r="E165" s="119">
        <f t="shared" si="52"/>
        <v>0</v>
      </c>
      <c r="F165" s="119">
        <f t="shared" si="47"/>
        <v>75.609438475581555</v>
      </c>
      <c r="G165" s="119">
        <v>0</v>
      </c>
      <c r="H165" s="119">
        <f t="shared" si="40"/>
        <v>75.609438475581555</v>
      </c>
      <c r="J165" s="119">
        <f>VLOOKUP(A165,'ESAI - Q3 - Base Case'!$A$5:$J$342,10)</f>
        <v>54.129198828078422</v>
      </c>
      <c r="K165" s="119">
        <f t="shared" si="41"/>
        <v>0</v>
      </c>
      <c r="L165" s="119">
        <f t="shared" si="39"/>
        <v>55.753074792920778</v>
      </c>
      <c r="M165" s="119">
        <f t="shared" si="42"/>
        <v>0</v>
      </c>
      <c r="N165" s="119">
        <f t="shared" si="43"/>
        <v>55.753074792920778</v>
      </c>
      <c r="O165" s="119">
        <v>0</v>
      </c>
      <c r="P165" s="119">
        <f t="shared" si="44"/>
        <v>55.753074792920778</v>
      </c>
    </row>
    <row r="166" spans="1:16" x14ac:dyDescent="0.2">
      <c r="A166" s="188">
        <v>47635</v>
      </c>
      <c r="B166" s="119">
        <f>VLOOKUP(A166,'ESAI - Q3 - Base Case'!$A$5:$J$342,9)</f>
        <v>77.704748921212442</v>
      </c>
      <c r="C166" s="119">
        <f t="shared" si="51"/>
        <v>0</v>
      </c>
      <c r="D166" s="119">
        <f t="shared" si="48"/>
        <v>80.03589138884881</v>
      </c>
      <c r="E166" s="119">
        <f t="shared" si="52"/>
        <v>0</v>
      </c>
      <c r="F166" s="119">
        <f t="shared" si="47"/>
        <v>80.03589138884881</v>
      </c>
      <c r="G166" s="119">
        <v>0</v>
      </c>
      <c r="H166" s="119">
        <f t="shared" si="40"/>
        <v>80.03589138884881</v>
      </c>
      <c r="J166" s="119">
        <f>VLOOKUP(A166,'ESAI - Q3 - Base Case'!$A$5:$J$342,10)</f>
        <v>55.450020993216711</v>
      </c>
      <c r="K166" s="119">
        <f t="shared" si="41"/>
        <v>0</v>
      </c>
      <c r="L166" s="119">
        <f t="shared" si="39"/>
        <v>57.113521623013213</v>
      </c>
      <c r="M166" s="119">
        <f t="shared" si="42"/>
        <v>0</v>
      </c>
      <c r="N166" s="119">
        <f t="shared" si="43"/>
        <v>57.113521623013213</v>
      </c>
      <c r="O166" s="119">
        <v>0</v>
      </c>
      <c r="P166" s="119">
        <f t="shared" si="44"/>
        <v>57.113521623013213</v>
      </c>
    </row>
    <row r="167" spans="1:16" x14ac:dyDescent="0.2">
      <c r="A167" s="188">
        <v>47665</v>
      </c>
      <c r="B167" s="119">
        <f>VLOOKUP(A167,'ESAI - Q3 - Base Case'!$A$5:$J$342,9)</f>
        <v>94.879824932391969</v>
      </c>
      <c r="C167" s="119">
        <f t="shared" si="51"/>
        <v>0</v>
      </c>
      <c r="D167" s="119">
        <f t="shared" si="48"/>
        <v>97.726219680363727</v>
      </c>
      <c r="E167" s="119">
        <f t="shared" si="52"/>
        <v>0</v>
      </c>
      <c r="F167" s="119">
        <f t="shared" si="47"/>
        <v>97.726219680363727</v>
      </c>
      <c r="G167" s="119">
        <v>0</v>
      </c>
      <c r="H167" s="119">
        <f t="shared" si="40"/>
        <v>97.726219680363727</v>
      </c>
      <c r="J167" s="119">
        <f>VLOOKUP(A167,'ESAI - Q3 - Base Case'!$A$5:$J$342,10)</f>
        <v>58.384992592845954</v>
      </c>
      <c r="K167" s="119">
        <f t="shared" si="41"/>
        <v>0</v>
      </c>
      <c r="L167" s="119">
        <f t="shared" si="39"/>
        <v>60.136542370631332</v>
      </c>
      <c r="M167" s="119">
        <f t="shared" si="42"/>
        <v>0</v>
      </c>
      <c r="N167" s="119">
        <f t="shared" si="43"/>
        <v>60.136542370631332</v>
      </c>
      <c r="O167" s="119">
        <v>0</v>
      </c>
      <c r="P167" s="119">
        <f t="shared" si="44"/>
        <v>60.136542370631332</v>
      </c>
    </row>
    <row r="168" spans="1:16" x14ac:dyDescent="0.2">
      <c r="A168" s="188">
        <v>47696</v>
      </c>
      <c r="B168" s="119">
        <f>VLOOKUP(A168,'ESAI - Q3 - Base Case'!$A$5:$J$342,9)</f>
        <v>74.180492407567471</v>
      </c>
      <c r="C168" s="119">
        <f t="shared" si="51"/>
        <v>0</v>
      </c>
      <c r="D168" s="119">
        <f t="shared" si="48"/>
        <v>76.405907179794497</v>
      </c>
      <c r="E168" s="119">
        <f t="shared" si="52"/>
        <v>0</v>
      </c>
      <c r="F168" s="119">
        <f t="shared" si="47"/>
        <v>76.405907179794497</v>
      </c>
      <c r="G168" s="119">
        <v>0</v>
      </c>
      <c r="H168" s="119">
        <f t="shared" si="40"/>
        <v>76.405907179794497</v>
      </c>
      <c r="J168" s="119">
        <f>VLOOKUP(A168,'ESAI - Q3 - Base Case'!$A$5:$J$342,10)</f>
        <v>57.484662576318058</v>
      </c>
      <c r="K168" s="119">
        <f t="shared" si="41"/>
        <v>0</v>
      </c>
      <c r="L168" s="119">
        <f t="shared" si="39"/>
        <v>59.209202453607602</v>
      </c>
      <c r="M168" s="119">
        <f t="shared" si="42"/>
        <v>0</v>
      </c>
      <c r="N168" s="119">
        <f t="shared" si="43"/>
        <v>59.209202453607602</v>
      </c>
      <c r="O168" s="119">
        <v>0</v>
      </c>
      <c r="P168" s="119">
        <f t="shared" si="44"/>
        <v>59.209202453607602</v>
      </c>
    </row>
    <row r="169" spans="1:16" x14ac:dyDescent="0.2">
      <c r="A169" s="188">
        <v>47727</v>
      </c>
      <c r="B169" s="119">
        <f>VLOOKUP(A169,'ESAI - Q3 - Base Case'!$A$5:$J$342,9)</f>
        <v>62.413262994076042</v>
      </c>
      <c r="C169" s="119">
        <f t="shared" si="51"/>
        <v>0</v>
      </c>
      <c r="D169" s="119">
        <f t="shared" si="48"/>
        <v>64.285660883898331</v>
      </c>
      <c r="E169" s="119">
        <f t="shared" si="52"/>
        <v>0</v>
      </c>
      <c r="F169" s="119">
        <f t="shared" si="47"/>
        <v>64.285660883898331</v>
      </c>
      <c r="G169" s="119">
        <v>0</v>
      </c>
      <c r="H169" s="119">
        <f t="shared" si="40"/>
        <v>64.285660883898331</v>
      </c>
      <c r="J169" s="119">
        <f>VLOOKUP(A169,'ESAI - Q3 - Base Case'!$A$5:$J$342,10)</f>
        <v>54.656922414897522</v>
      </c>
      <c r="K169" s="119">
        <f t="shared" si="41"/>
        <v>0</v>
      </c>
      <c r="L169" s="119">
        <f t="shared" si="39"/>
        <v>56.296630087344447</v>
      </c>
      <c r="M169" s="119">
        <f t="shared" si="42"/>
        <v>0</v>
      </c>
      <c r="N169" s="119">
        <f t="shared" si="43"/>
        <v>56.296630087344447</v>
      </c>
      <c r="O169" s="119">
        <v>0</v>
      </c>
      <c r="P169" s="119">
        <f t="shared" si="44"/>
        <v>56.296630087344447</v>
      </c>
    </row>
    <row r="170" spans="1:16" x14ac:dyDescent="0.2">
      <c r="A170" s="188">
        <v>47757</v>
      </c>
      <c r="B170" s="119">
        <f>VLOOKUP(A170,'ESAI - Q3 - Base Case'!$A$5:$J$342,9)</f>
        <v>59.707762055875463</v>
      </c>
      <c r="C170" s="119">
        <f t="shared" si="51"/>
        <v>0</v>
      </c>
      <c r="D170" s="119">
        <f t="shared" si="48"/>
        <v>61.498994917551727</v>
      </c>
      <c r="E170" s="119">
        <f t="shared" si="52"/>
        <v>0</v>
      </c>
      <c r="F170" s="119">
        <f t="shared" si="47"/>
        <v>61.498994917551727</v>
      </c>
      <c r="G170" s="119">
        <v>0</v>
      </c>
      <c r="H170" s="119">
        <f t="shared" si="40"/>
        <v>61.498994917551727</v>
      </c>
      <c r="J170" s="119">
        <f>VLOOKUP(A170,'ESAI - Q3 - Base Case'!$A$5:$J$342,10)</f>
        <v>52.239065026392375</v>
      </c>
      <c r="K170" s="119">
        <f t="shared" si="41"/>
        <v>0</v>
      </c>
      <c r="L170" s="119">
        <f t="shared" si="39"/>
        <v>53.806236977184149</v>
      </c>
      <c r="M170" s="119">
        <f t="shared" si="42"/>
        <v>0</v>
      </c>
      <c r="N170" s="119">
        <f t="shared" si="43"/>
        <v>53.806236977184149</v>
      </c>
      <c r="O170" s="119">
        <v>0</v>
      </c>
      <c r="P170" s="119">
        <f t="shared" si="44"/>
        <v>53.806236977184149</v>
      </c>
    </row>
    <row r="171" spans="1:16" x14ac:dyDescent="0.2">
      <c r="A171" s="188">
        <v>47788</v>
      </c>
      <c r="B171" s="119">
        <f>VLOOKUP(A171,'ESAI - Q3 - Base Case'!$A$5:$J$342,9)</f>
        <v>68.601488635843168</v>
      </c>
      <c r="C171" s="119">
        <f t="shared" si="51"/>
        <v>0</v>
      </c>
      <c r="D171" s="119">
        <f t="shared" si="48"/>
        <v>70.659533294918461</v>
      </c>
      <c r="E171" s="119">
        <f t="shared" si="52"/>
        <v>0</v>
      </c>
      <c r="F171" s="119">
        <f t="shared" si="47"/>
        <v>70.659533294918461</v>
      </c>
      <c r="G171" s="119">
        <v>0</v>
      </c>
      <c r="H171" s="119">
        <f t="shared" si="40"/>
        <v>70.659533294918461</v>
      </c>
      <c r="J171" s="119">
        <f>VLOOKUP(A171,'ESAI - Q3 - Base Case'!$A$5:$J$342,10)</f>
        <v>57.547259650407469</v>
      </c>
      <c r="K171" s="119">
        <f t="shared" si="41"/>
        <v>0</v>
      </c>
      <c r="L171" s="119">
        <f t="shared" si="39"/>
        <v>59.273677439919695</v>
      </c>
      <c r="M171" s="119">
        <f t="shared" si="42"/>
        <v>0</v>
      </c>
      <c r="N171" s="119">
        <f t="shared" si="43"/>
        <v>59.273677439919695</v>
      </c>
      <c r="O171" s="119">
        <v>0</v>
      </c>
      <c r="P171" s="119">
        <f t="shared" si="44"/>
        <v>59.273677439919695</v>
      </c>
    </row>
    <row r="172" spans="1:16" x14ac:dyDescent="0.2">
      <c r="A172" s="188">
        <v>47818</v>
      </c>
      <c r="B172" s="119">
        <f>VLOOKUP(A172,'ESAI - Q3 - Base Case'!$A$5:$J$342,9)</f>
        <v>99.059173780845981</v>
      </c>
      <c r="C172" s="119">
        <f t="shared" si="51"/>
        <v>0</v>
      </c>
      <c r="D172" s="119">
        <f t="shared" si="48"/>
        <v>102.03094899427137</v>
      </c>
      <c r="E172" s="119">
        <f t="shared" si="52"/>
        <v>0</v>
      </c>
      <c r="F172" s="119">
        <f t="shared" si="47"/>
        <v>102.03094899427137</v>
      </c>
      <c r="G172" s="119">
        <v>0</v>
      </c>
      <c r="H172" s="119">
        <f t="shared" si="40"/>
        <v>102.03094899427137</v>
      </c>
      <c r="J172" s="119">
        <f>VLOOKUP(A172,'ESAI - Q3 - Base Case'!$A$5:$J$342,10)</f>
        <v>74.953112723225487</v>
      </c>
      <c r="K172" s="119">
        <f t="shared" si="41"/>
        <v>0</v>
      </c>
      <c r="L172" s="119">
        <f t="shared" si="39"/>
        <v>77.201706104922252</v>
      </c>
      <c r="M172" s="119">
        <f t="shared" si="42"/>
        <v>0</v>
      </c>
      <c r="N172" s="119">
        <f t="shared" si="43"/>
        <v>77.201706104922252</v>
      </c>
      <c r="O172" s="119">
        <v>0</v>
      </c>
      <c r="P172" s="119">
        <f t="shared" si="44"/>
        <v>77.201706104922252</v>
      </c>
    </row>
    <row r="173" spans="1:16" x14ac:dyDescent="0.2">
      <c r="A173" s="188">
        <v>47849</v>
      </c>
      <c r="B173" s="119">
        <f>VLOOKUP(A173,'ESAI - Q3 - Base Case'!$A$5:$J$342,9)</f>
        <v>138.80452354114684</v>
      </c>
      <c r="C173" s="119">
        <f>C161*(1+'Firm Purchase Revenue Reqmnt'!$I$71)</f>
        <v>0</v>
      </c>
      <c r="D173" s="119">
        <f t="shared" si="48"/>
        <v>142.96865924738125</v>
      </c>
      <c r="E173" s="120">
        <f>E161*(1+$E$2)</f>
        <v>0</v>
      </c>
      <c r="F173" s="119">
        <f t="shared" si="47"/>
        <v>142.96865924738125</v>
      </c>
      <c r="G173" s="120">
        <v>0</v>
      </c>
      <c r="H173" s="119">
        <f t="shared" si="40"/>
        <v>142.96865924738125</v>
      </c>
      <c r="J173" s="119">
        <f>VLOOKUP(A173,'ESAI - Q3 - Base Case'!$A$5:$J$342,10)</f>
        <v>93.787612938599736</v>
      </c>
      <c r="K173" s="119">
        <f t="shared" si="41"/>
        <v>0</v>
      </c>
      <c r="L173" s="119">
        <f t="shared" si="39"/>
        <v>96.60124132675773</v>
      </c>
      <c r="M173" s="120">
        <f t="shared" si="42"/>
        <v>0</v>
      </c>
      <c r="N173" s="119">
        <f t="shared" si="43"/>
        <v>96.60124132675773</v>
      </c>
      <c r="O173" s="120">
        <v>0</v>
      </c>
      <c r="P173" s="119">
        <f t="shared" si="44"/>
        <v>96.60124132675773</v>
      </c>
    </row>
    <row r="174" spans="1:16" x14ac:dyDescent="0.2">
      <c r="A174" s="188">
        <v>47880</v>
      </c>
      <c r="B174" s="119">
        <f>VLOOKUP(A174,'ESAI - Q3 - Base Case'!$A$5:$J$342,9)</f>
        <v>100.68613779458612</v>
      </c>
      <c r="C174" s="119">
        <f>C173</f>
        <v>0</v>
      </c>
      <c r="D174" s="119">
        <f t="shared" si="48"/>
        <v>103.7067219284237</v>
      </c>
      <c r="E174" s="119">
        <f>E173</f>
        <v>0</v>
      </c>
      <c r="F174" s="119">
        <f t="shared" si="47"/>
        <v>103.7067219284237</v>
      </c>
      <c r="G174" s="119">
        <v>0</v>
      </c>
      <c r="H174" s="119">
        <f t="shared" si="40"/>
        <v>103.7067219284237</v>
      </c>
      <c r="J174" s="119">
        <f>VLOOKUP(A174,'ESAI - Q3 - Base Case'!$A$5:$J$342,10)</f>
        <v>84.425446580638422</v>
      </c>
      <c r="K174" s="119">
        <f t="shared" si="41"/>
        <v>0</v>
      </c>
      <c r="L174" s="119">
        <f t="shared" si="39"/>
        <v>86.958209978057582</v>
      </c>
      <c r="M174" s="119">
        <f t="shared" si="42"/>
        <v>0</v>
      </c>
      <c r="N174" s="119">
        <f t="shared" si="43"/>
        <v>86.958209978057582</v>
      </c>
      <c r="O174" s="119">
        <v>0</v>
      </c>
      <c r="P174" s="119">
        <f t="shared" si="44"/>
        <v>86.958209978057582</v>
      </c>
    </row>
    <row r="175" spans="1:16" x14ac:dyDescent="0.2">
      <c r="A175" s="188">
        <v>47908</v>
      </c>
      <c r="B175" s="119">
        <f>VLOOKUP(A175,'ESAI - Q3 - Base Case'!$A$5:$J$342,9)</f>
        <v>70.871489452956624</v>
      </c>
      <c r="C175" s="119">
        <f t="shared" ref="C175:C184" si="53">C174</f>
        <v>0</v>
      </c>
      <c r="D175" s="119">
        <f t="shared" si="48"/>
        <v>72.997634136545329</v>
      </c>
      <c r="E175" s="119">
        <f t="shared" ref="E175:E184" si="54">E174</f>
        <v>0</v>
      </c>
      <c r="F175" s="119">
        <f t="shared" si="47"/>
        <v>72.997634136545329</v>
      </c>
      <c r="G175" s="119">
        <v>0</v>
      </c>
      <c r="H175" s="119">
        <f t="shared" si="40"/>
        <v>72.997634136545329</v>
      </c>
      <c r="J175" s="119">
        <f>VLOOKUP(A175,'ESAI - Q3 - Base Case'!$A$5:$J$342,10)</f>
        <v>59.402775252524613</v>
      </c>
      <c r="K175" s="119">
        <f t="shared" si="41"/>
        <v>0</v>
      </c>
      <c r="L175" s="119">
        <f t="shared" si="39"/>
        <v>61.184858510100355</v>
      </c>
      <c r="M175" s="119">
        <f t="shared" si="42"/>
        <v>0</v>
      </c>
      <c r="N175" s="119">
        <f t="shared" si="43"/>
        <v>61.184858510100355</v>
      </c>
      <c r="O175" s="119">
        <v>0</v>
      </c>
      <c r="P175" s="119">
        <f t="shared" si="44"/>
        <v>61.184858510100355</v>
      </c>
    </row>
    <row r="176" spans="1:16" x14ac:dyDescent="0.2">
      <c r="A176" s="188">
        <v>47939</v>
      </c>
      <c r="B176" s="119">
        <f>VLOOKUP(A176,'ESAI - Q3 - Base Case'!$A$5:$J$342,9)</f>
        <v>66.25817280298709</v>
      </c>
      <c r="C176" s="119">
        <f t="shared" si="53"/>
        <v>0</v>
      </c>
      <c r="D176" s="119">
        <f t="shared" si="48"/>
        <v>68.245917987076709</v>
      </c>
      <c r="E176" s="119">
        <f t="shared" si="54"/>
        <v>0</v>
      </c>
      <c r="F176" s="119">
        <f t="shared" si="47"/>
        <v>68.245917987076709</v>
      </c>
      <c r="G176" s="119">
        <v>0</v>
      </c>
      <c r="H176" s="119">
        <f t="shared" si="40"/>
        <v>68.245917987076709</v>
      </c>
      <c r="J176" s="119">
        <f>VLOOKUP(A176,'ESAI - Q3 - Base Case'!$A$5:$J$342,10)</f>
        <v>53.282205464823512</v>
      </c>
      <c r="K176" s="119">
        <f t="shared" si="41"/>
        <v>0</v>
      </c>
      <c r="L176" s="119">
        <f t="shared" si="39"/>
        <v>54.880671628768219</v>
      </c>
      <c r="M176" s="119">
        <f t="shared" si="42"/>
        <v>0</v>
      </c>
      <c r="N176" s="119">
        <f t="shared" si="43"/>
        <v>54.880671628768219</v>
      </c>
      <c r="O176" s="119">
        <v>0</v>
      </c>
      <c r="P176" s="119">
        <f t="shared" si="44"/>
        <v>54.880671628768219</v>
      </c>
    </row>
    <row r="177" spans="1:16" x14ac:dyDescent="0.2">
      <c r="A177" s="188">
        <v>47969</v>
      </c>
      <c r="B177" s="119">
        <f>VLOOKUP(A177,'ESAI - Q3 - Base Case'!$A$5:$J$342,9)</f>
        <v>74.875366257372036</v>
      </c>
      <c r="C177" s="119">
        <f t="shared" si="53"/>
        <v>0</v>
      </c>
      <c r="D177" s="119">
        <f t="shared" si="48"/>
        <v>77.121627245093194</v>
      </c>
      <c r="E177" s="119">
        <f t="shared" si="54"/>
        <v>0</v>
      </c>
      <c r="F177" s="119">
        <f t="shared" si="47"/>
        <v>77.121627245093194</v>
      </c>
      <c r="G177" s="119">
        <v>0</v>
      </c>
      <c r="H177" s="119">
        <f t="shared" si="40"/>
        <v>77.121627245093194</v>
      </c>
      <c r="J177" s="119">
        <f>VLOOKUP(A177,'ESAI - Q3 - Base Case'!$A$5:$J$342,10)</f>
        <v>55.211782804639995</v>
      </c>
      <c r="K177" s="119">
        <f t="shared" si="41"/>
        <v>0</v>
      </c>
      <c r="L177" s="119">
        <f t="shared" si="39"/>
        <v>56.868136288779198</v>
      </c>
      <c r="M177" s="119">
        <f t="shared" si="42"/>
        <v>0</v>
      </c>
      <c r="N177" s="119">
        <f t="shared" si="43"/>
        <v>56.868136288779198</v>
      </c>
      <c r="O177" s="119">
        <v>0</v>
      </c>
      <c r="P177" s="119">
        <f t="shared" si="44"/>
        <v>56.868136288779198</v>
      </c>
    </row>
    <row r="178" spans="1:16" x14ac:dyDescent="0.2">
      <c r="A178" s="188">
        <v>48000</v>
      </c>
      <c r="B178" s="119">
        <f>VLOOKUP(A178,'ESAI - Q3 - Base Case'!$A$5:$J$342,9)</f>
        <v>79.258843899636688</v>
      </c>
      <c r="C178" s="119">
        <f t="shared" si="53"/>
        <v>0</v>
      </c>
      <c r="D178" s="119">
        <f t="shared" si="48"/>
        <v>81.636609216625786</v>
      </c>
      <c r="E178" s="119">
        <f t="shared" si="54"/>
        <v>0</v>
      </c>
      <c r="F178" s="119">
        <f t="shared" si="47"/>
        <v>81.636609216625786</v>
      </c>
      <c r="G178" s="119">
        <v>0</v>
      </c>
      <c r="H178" s="119">
        <f t="shared" si="40"/>
        <v>81.636609216625786</v>
      </c>
      <c r="J178" s="119">
        <f>VLOOKUP(A178,'ESAI - Q3 - Base Case'!$A$5:$J$342,10)</f>
        <v>56.559021413081048</v>
      </c>
      <c r="K178" s="119">
        <f t="shared" si="41"/>
        <v>0</v>
      </c>
      <c r="L178" s="119">
        <f t="shared" si="39"/>
        <v>58.255792055473478</v>
      </c>
      <c r="M178" s="119">
        <f t="shared" si="42"/>
        <v>0</v>
      </c>
      <c r="N178" s="119">
        <f t="shared" si="43"/>
        <v>58.255792055473478</v>
      </c>
      <c r="O178" s="119">
        <v>0</v>
      </c>
      <c r="P178" s="119">
        <f t="shared" si="44"/>
        <v>58.255792055473478</v>
      </c>
    </row>
    <row r="179" spans="1:16" x14ac:dyDescent="0.2">
      <c r="A179" s="188">
        <v>48030</v>
      </c>
      <c r="B179" s="119">
        <f>VLOOKUP(A179,'ESAI - Q3 - Base Case'!$A$5:$J$342,9)</f>
        <v>96.777421431039812</v>
      </c>
      <c r="C179" s="119">
        <f t="shared" si="53"/>
        <v>0</v>
      </c>
      <c r="D179" s="119">
        <f t="shared" si="48"/>
        <v>99.680744073971013</v>
      </c>
      <c r="E179" s="119">
        <f t="shared" si="54"/>
        <v>0</v>
      </c>
      <c r="F179" s="119">
        <f t="shared" si="47"/>
        <v>99.680744073971013</v>
      </c>
      <c r="G179" s="119">
        <v>0</v>
      </c>
      <c r="H179" s="119">
        <f t="shared" si="40"/>
        <v>99.680744073971013</v>
      </c>
      <c r="J179" s="119">
        <f>VLOOKUP(A179,'ESAI - Q3 - Base Case'!$A$5:$J$342,10)</f>
        <v>59.552692444702878</v>
      </c>
      <c r="K179" s="119">
        <f t="shared" si="41"/>
        <v>0</v>
      </c>
      <c r="L179" s="119">
        <f t="shared" si="39"/>
        <v>61.339273218043964</v>
      </c>
      <c r="M179" s="119">
        <f t="shared" si="42"/>
        <v>0</v>
      </c>
      <c r="N179" s="119">
        <f t="shared" si="43"/>
        <v>61.339273218043964</v>
      </c>
      <c r="O179" s="119">
        <v>0</v>
      </c>
      <c r="P179" s="119">
        <f t="shared" si="44"/>
        <v>61.339273218043964</v>
      </c>
    </row>
    <row r="180" spans="1:16" x14ac:dyDescent="0.2">
      <c r="A180" s="188">
        <v>48061</v>
      </c>
      <c r="B180" s="119">
        <f>VLOOKUP(A180,'ESAI - Q3 - Base Case'!$A$5:$J$342,9)</f>
        <v>75.664102255718817</v>
      </c>
      <c r="C180" s="119">
        <f t="shared" si="53"/>
        <v>0</v>
      </c>
      <c r="D180" s="119">
        <f t="shared" si="48"/>
        <v>77.934025323390387</v>
      </c>
      <c r="E180" s="119">
        <f t="shared" si="54"/>
        <v>0</v>
      </c>
      <c r="F180" s="119">
        <f t="shared" si="47"/>
        <v>77.934025323390387</v>
      </c>
      <c r="G180" s="119">
        <v>0</v>
      </c>
      <c r="H180" s="119">
        <f t="shared" si="40"/>
        <v>77.934025323390387</v>
      </c>
      <c r="J180" s="119">
        <f>VLOOKUP(A180,'ESAI - Q3 - Base Case'!$A$5:$J$342,10)</f>
        <v>58.634355827844423</v>
      </c>
      <c r="K180" s="119">
        <f t="shared" si="41"/>
        <v>0</v>
      </c>
      <c r="L180" s="119">
        <f t="shared" si="39"/>
        <v>60.39338650267976</v>
      </c>
      <c r="M180" s="119">
        <f t="shared" si="42"/>
        <v>0</v>
      </c>
      <c r="N180" s="119">
        <f t="shared" si="43"/>
        <v>60.39338650267976</v>
      </c>
      <c r="O180" s="119">
        <v>0</v>
      </c>
      <c r="P180" s="119">
        <f t="shared" si="44"/>
        <v>60.39338650267976</v>
      </c>
    </row>
    <row r="181" spans="1:16" x14ac:dyDescent="0.2">
      <c r="A181" s="188">
        <v>48092</v>
      </c>
      <c r="B181" s="119">
        <f>VLOOKUP(A181,'ESAI - Q3 - Base Case'!$A$5:$J$342,9)</f>
        <v>63.661528253957563</v>
      </c>
      <c r="C181" s="119">
        <f t="shared" si="53"/>
        <v>0</v>
      </c>
      <c r="D181" s="119">
        <f t="shared" si="48"/>
        <v>65.571374101576296</v>
      </c>
      <c r="E181" s="119">
        <f t="shared" si="54"/>
        <v>0</v>
      </c>
      <c r="F181" s="119">
        <f t="shared" si="47"/>
        <v>65.571374101576296</v>
      </c>
      <c r="G181" s="119">
        <v>0</v>
      </c>
      <c r="H181" s="119">
        <f t="shared" si="40"/>
        <v>65.571374101576296</v>
      </c>
      <c r="J181" s="119">
        <f>VLOOKUP(A181,'ESAI - Q3 - Base Case'!$A$5:$J$342,10)</f>
        <v>55.750060863195472</v>
      </c>
      <c r="K181" s="119">
        <f t="shared" si="41"/>
        <v>0</v>
      </c>
      <c r="L181" s="119">
        <f t="shared" si="39"/>
        <v>57.422562689091336</v>
      </c>
      <c r="M181" s="119">
        <f t="shared" si="42"/>
        <v>0</v>
      </c>
      <c r="N181" s="119">
        <f t="shared" si="43"/>
        <v>57.422562689091336</v>
      </c>
      <c r="O181" s="119">
        <v>0</v>
      </c>
      <c r="P181" s="119">
        <f t="shared" si="44"/>
        <v>57.422562689091336</v>
      </c>
    </row>
    <row r="182" spans="1:16" x14ac:dyDescent="0.2">
      <c r="A182" s="188">
        <v>48122</v>
      </c>
      <c r="B182" s="119">
        <f>VLOOKUP(A182,'ESAI - Q3 - Base Case'!$A$5:$J$342,9)</f>
        <v>60.901917296992977</v>
      </c>
      <c r="C182" s="119">
        <f t="shared" si="53"/>
        <v>0</v>
      </c>
      <c r="D182" s="119">
        <f t="shared" si="48"/>
        <v>62.728974815902767</v>
      </c>
      <c r="E182" s="119">
        <f t="shared" si="54"/>
        <v>0</v>
      </c>
      <c r="F182" s="119">
        <f t="shared" si="47"/>
        <v>62.728974815902767</v>
      </c>
      <c r="G182" s="119">
        <v>0</v>
      </c>
      <c r="H182" s="119">
        <f t="shared" si="40"/>
        <v>62.728974815902767</v>
      </c>
      <c r="J182" s="119">
        <f>VLOOKUP(A182,'ESAI - Q3 - Base Case'!$A$5:$J$342,10)</f>
        <v>53.283846326920226</v>
      </c>
      <c r="K182" s="119">
        <f t="shared" si="41"/>
        <v>0</v>
      </c>
      <c r="L182" s="119">
        <f t="shared" si="39"/>
        <v>54.882361716727836</v>
      </c>
      <c r="M182" s="119">
        <f t="shared" si="42"/>
        <v>0</v>
      </c>
      <c r="N182" s="119">
        <f t="shared" si="43"/>
        <v>54.882361716727836</v>
      </c>
      <c r="O182" s="119">
        <v>0</v>
      </c>
      <c r="P182" s="119">
        <f t="shared" si="44"/>
        <v>54.882361716727836</v>
      </c>
    </row>
    <row r="183" spans="1:16" x14ac:dyDescent="0.2">
      <c r="A183" s="188">
        <v>48153</v>
      </c>
      <c r="B183" s="119">
        <f>VLOOKUP(A183,'ESAI - Q3 - Base Case'!$A$5:$J$342,9)</f>
        <v>69.973518408560039</v>
      </c>
      <c r="C183" s="119">
        <f t="shared" si="53"/>
        <v>0</v>
      </c>
      <c r="D183" s="119">
        <f t="shared" si="48"/>
        <v>72.072723960816845</v>
      </c>
      <c r="E183" s="119">
        <f t="shared" si="54"/>
        <v>0</v>
      </c>
      <c r="F183" s="119">
        <f t="shared" si="47"/>
        <v>72.072723960816845</v>
      </c>
      <c r="G183" s="119">
        <v>0</v>
      </c>
      <c r="H183" s="119">
        <f t="shared" si="40"/>
        <v>72.072723960816845</v>
      </c>
      <c r="J183" s="119">
        <f>VLOOKUP(A183,'ESAI - Q3 - Base Case'!$A$5:$J$342,10)</f>
        <v>58.698204843415617</v>
      </c>
      <c r="K183" s="119">
        <f t="shared" si="41"/>
        <v>0</v>
      </c>
      <c r="L183" s="119">
        <f t="shared" si="39"/>
        <v>60.459150988718086</v>
      </c>
      <c r="M183" s="119">
        <f t="shared" si="42"/>
        <v>0</v>
      </c>
      <c r="N183" s="119">
        <f t="shared" si="43"/>
        <v>60.459150988718086</v>
      </c>
      <c r="O183" s="119">
        <v>0</v>
      </c>
      <c r="P183" s="119">
        <f t="shared" si="44"/>
        <v>60.459150988718086</v>
      </c>
    </row>
    <row r="184" spans="1:16" x14ac:dyDescent="0.2">
      <c r="A184" s="188">
        <v>48183</v>
      </c>
      <c r="B184" s="119">
        <f>VLOOKUP(A184,'ESAI - Q3 - Base Case'!$A$5:$J$342,9)</f>
        <v>101.0403572564629</v>
      </c>
      <c r="C184" s="119">
        <f t="shared" si="53"/>
        <v>0</v>
      </c>
      <c r="D184" s="119">
        <f t="shared" si="48"/>
        <v>104.07156797415679</v>
      </c>
      <c r="E184" s="119">
        <f t="shared" si="54"/>
        <v>0</v>
      </c>
      <c r="F184" s="119">
        <f t="shared" si="47"/>
        <v>104.07156797415679</v>
      </c>
      <c r="G184" s="119">
        <v>0</v>
      </c>
      <c r="H184" s="119">
        <f t="shared" si="40"/>
        <v>104.07156797415679</v>
      </c>
      <c r="J184" s="119">
        <f>VLOOKUP(A184,'ESAI - Q3 - Base Case'!$A$5:$J$342,10)</f>
        <v>76.452174977689992</v>
      </c>
      <c r="K184" s="119">
        <f t="shared" si="41"/>
        <v>0</v>
      </c>
      <c r="L184" s="119">
        <f t="shared" si="39"/>
        <v>78.74574022702069</v>
      </c>
      <c r="M184" s="119">
        <f t="shared" si="42"/>
        <v>0</v>
      </c>
      <c r="N184" s="119">
        <f t="shared" si="43"/>
        <v>78.74574022702069</v>
      </c>
      <c r="O184" s="119">
        <v>0</v>
      </c>
      <c r="P184" s="119">
        <f t="shared" si="44"/>
        <v>78.74574022702069</v>
      </c>
    </row>
    <row r="185" spans="1:16" x14ac:dyDescent="0.2">
      <c r="A185" s="188">
        <v>48214</v>
      </c>
      <c r="B185" s="119">
        <f>VLOOKUP(A185,'ESAI - Q3 - Base Case'!$A$5:$J$342,9)</f>
        <v>141.58061401196977</v>
      </c>
      <c r="C185" s="119">
        <f>C173*(1+'Firm Purchase Revenue Reqmnt'!$I$71)</f>
        <v>0</v>
      </c>
      <c r="D185" s="119">
        <f t="shared" si="48"/>
        <v>145.82803243232888</v>
      </c>
      <c r="E185" s="120">
        <f>E173*(1+$E$2)</f>
        <v>0</v>
      </c>
      <c r="F185" s="119">
        <f t="shared" si="47"/>
        <v>145.82803243232888</v>
      </c>
      <c r="G185" s="120">
        <v>0</v>
      </c>
      <c r="H185" s="119">
        <f t="shared" si="40"/>
        <v>145.82803243232888</v>
      </c>
      <c r="J185" s="119">
        <f>VLOOKUP(A185,'ESAI - Q3 - Base Case'!$A$5:$J$342,10)</f>
        <v>95.663365197371732</v>
      </c>
      <c r="K185" s="119">
        <f t="shared" si="41"/>
        <v>0</v>
      </c>
      <c r="L185" s="119">
        <f t="shared" si="39"/>
        <v>98.533266153292885</v>
      </c>
      <c r="M185" s="120">
        <f t="shared" si="42"/>
        <v>0</v>
      </c>
      <c r="N185" s="119">
        <f t="shared" si="43"/>
        <v>98.533266153292885</v>
      </c>
      <c r="O185" s="120">
        <v>0</v>
      </c>
      <c r="P185" s="119">
        <f t="shared" si="44"/>
        <v>98.533266153292885</v>
      </c>
    </row>
    <row r="186" spans="1:16" x14ac:dyDescent="0.2">
      <c r="A186" s="188">
        <v>48245</v>
      </c>
      <c r="B186" s="119">
        <f>VLOOKUP(A186,'ESAI - Q3 - Base Case'!$A$5:$J$342,9)</f>
        <v>102.69986055047784</v>
      </c>
      <c r="C186" s="119">
        <f>C185</f>
        <v>0</v>
      </c>
      <c r="D186" s="119">
        <f t="shared" si="48"/>
        <v>105.78085636699217</v>
      </c>
      <c r="E186" s="119">
        <f>E185</f>
        <v>0</v>
      </c>
      <c r="F186" s="119">
        <f t="shared" si="47"/>
        <v>105.78085636699217</v>
      </c>
      <c r="G186" s="119">
        <v>0</v>
      </c>
      <c r="H186" s="119">
        <f t="shared" si="40"/>
        <v>105.78085636699217</v>
      </c>
      <c r="J186" s="119">
        <f>VLOOKUP(A186,'ESAI - Q3 - Base Case'!$A$5:$J$342,10)</f>
        <v>86.113955512251195</v>
      </c>
      <c r="K186" s="119">
        <f t="shared" si="41"/>
        <v>0</v>
      </c>
      <c r="L186" s="119">
        <f t="shared" si="39"/>
        <v>88.697374177618727</v>
      </c>
      <c r="M186" s="119">
        <f t="shared" si="42"/>
        <v>0</v>
      </c>
      <c r="N186" s="119">
        <f t="shared" si="43"/>
        <v>88.697374177618727</v>
      </c>
      <c r="O186" s="119">
        <v>0</v>
      </c>
      <c r="P186" s="119">
        <f t="shared" si="44"/>
        <v>88.697374177618727</v>
      </c>
    </row>
    <row r="187" spans="1:16" x14ac:dyDescent="0.2">
      <c r="A187" s="188">
        <v>48274</v>
      </c>
      <c r="B187" s="119">
        <f>VLOOKUP(A187,'ESAI - Q3 - Base Case'!$A$5:$J$342,9)</f>
        <v>72.288919242015751</v>
      </c>
      <c r="C187" s="119">
        <f t="shared" ref="C187:C196" si="55">C186</f>
        <v>0</v>
      </c>
      <c r="D187" s="119">
        <f t="shared" si="48"/>
        <v>74.45758681927623</v>
      </c>
      <c r="E187" s="119">
        <f t="shared" ref="E187:E196" si="56">E186</f>
        <v>0</v>
      </c>
      <c r="F187" s="119">
        <f t="shared" si="47"/>
        <v>74.45758681927623</v>
      </c>
      <c r="G187" s="119">
        <v>0</v>
      </c>
      <c r="H187" s="119">
        <f t="shared" si="40"/>
        <v>74.45758681927623</v>
      </c>
      <c r="J187" s="119">
        <f>VLOOKUP(A187,'ESAI - Q3 - Base Case'!$A$5:$J$342,10)</f>
        <v>60.590830757575105</v>
      </c>
      <c r="K187" s="119">
        <f t="shared" si="41"/>
        <v>0</v>
      </c>
      <c r="L187" s="119">
        <f t="shared" si="39"/>
        <v>62.408555680302364</v>
      </c>
      <c r="M187" s="119">
        <f t="shared" si="42"/>
        <v>0</v>
      </c>
      <c r="N187" s="119">
        <f t="shared" si="43"/>
        <v>62.408555680302364</v>
      </c>
      <c r="O187" s="119">
        <v>0</v>
      </c>
      <c r="P187" s="119">
        <f t="shared" si="44"/>
        <v>62.408555680302364</v>
      </c>
    </row>
    <row r="188" spans="1:16" x14ac:dyDescent="0.2">
      <c r="A188" s="188">
        <v>48305</v>
      </c>
      <c r="B188" s="119">
        <f>VLOOKUP(A188,'ESAI - Q3 - Base Case'!$A$5:$J$342,9)</f>
        <v>67.583336259046831</v>
      </c>
      <c r="C188" s="119">
        <f t="shared" si="55"/>
        <v>0</v>
      </c>
      <c r="D188" s="119">
        <f t="shared" si="48"/>
        <v>69.610836346818232</v>
      </c>
      <c r="E188" s="119">
        <f t="shared" si="56"/>
        <v>0</v>
      </c>
      <c r="F188" s="119">
        <f t="shared" si="47"/>
        <v>69.610836346818232</v>
      </c>
      <c r="G188" s="119">
        <v>0</v>
      </c>
      <c r="H188" s="119">
        <f t="shared" si="40"/>
        <v>69.610836346818232</v>
      </c>
      <c r="J188" s="119">
        <f>VLOOKUP(A188,'ESAI - Q3 - Base Case'!$A$5:$J$342,10)</f>
        <v>54.347849574119984</v>
      </c>
      <c r="K188" s="119">
        <f t="shared" si="41"/>
        <v>0</v>
      </c>
      <c r="L188" s="119">
        <f t="shared" si="39"/>
        <v>55.978285061343584</v>
      </c>
      <c r="M188" s="119">
        <f t="shared" si="42"/>
        <v>0</v>
      </c>
      <c r="N188" s="119">
        <f t="shared" si="43"/>
        <v>55.978285061343584</v>
      </c>
      <c r="O188" s="119">
        <v>0</v>
      </c>
      <c r="P188" s="119">
        <f t="shared" si="44"/>
        <v>55.978285061343584</v>
      </c>
    </row>
    <row r="189" spans="1:16" x14ac:dyDescent="0.2">
      <c r="A189" s="188">
        <v>48335</v>
      </c>
      <c r="B189" s="119">
        <f>VLOOKUP(A189,'ESAI - Q3 - Base Case'!$A$5:$J$342,9)</f>
        <v>76.372873582519475</v>
      </c>
      <c r="C189" s="119">
        <f t="shared" si="55"/>
        <v>0</v>
      </c>
      <c r="D189" s="119">
        <f t="shared" si="48"/>
        <v>78.664059789995065</v>
      </c>
      <c r="E189" s="119">
        <f t="shared" si="56"/>
        <v>0</v>
      </c>
      <c r="F189" s="119">
        <f t="shared" si="47"/>
        <v>78.664059789995065</v>
      </c>
      <c r="G189" s="119">
        <v>0</v>
      </c>
      <c r="H189" s="119">
        <f t="shared" si="40"/>
        <v>78.664059789995065</v>
      </c>
      <c r="J189" s="119">
        <f>VLOOKUP(A189,'ESAI - Q3 - Base Case'!$A$5:$J$342,10)</f>
        <v>56.316018460732799</v>
      </c>
      <c r="K189" s="119">
        <f t="shared" si="41"/>
        <v>0</v>
      </c>
      <c r="L189" s="119">
        <f t="shared" si="39"/>
        <v>58.005499014554786</v>
      </c>
      <c r="M189" s="119">
        <f t="shared" si="42"/>
        <v>0</v>
      </c>
      <c r="N189" s="119">
        <f t="shared" si="43"/>
        <v>58.005499014554786</v>
      </c>
      <c r="O189" s="119">
        <v>0</v>
      </c>
      <c r="P189" s="119">
        <f t="shared" si="44"/>
        <v>58.005499014554786</v>
      </c>
    </row>
    <row r="190" spans="1:16" x14ac:dyDescent="0.2">
      <c r="A190" s="188">
        <v>48366</v>
      </c>
      <c r="B190" s="119">
        <f>VLOOKUP(A190,'ESAI - Q3 - Base Case'!$A$5:$J$342,9)</f>
        <v>80.844020777629424</v>
      </c>
      <c r="C190" s="119">
        <f t="shared" si="55"/>
        <v>0</v>
      </c>
      <c r="D190" s="119">
        <f t="shared" si="48"/>
        <v>83.269341400958311</v>
      </c>
      <c r="E190" s="119">
        <f t="shared" si="56"/>
        <v>0</v>
      </c>
      <c r="F190" s="119">
        <f t="shared" si="47"/>
        <v>83.269341400958311</v>
      </c>
      <c r="G190" s="119">
        <v>0</v>
      </c>
      <c r="H190" s="119">
        <f t="shared" si="40"/>
        <v>83.269341400958311</v>
      </c>
      <c r="J190" s="119">
        <f>VLOOKUP(A190,'ESAI - Q3 - Base Case'!$A$5:$J$342,10)</f>
        <v>57.69020184134267</v>
      </c>
      <c r="K190" s="119">
        <f t="shared" si="41"/>
        <v>0</v>
      </c>
      <c r="L190" s="119">
        <f t="shared" si="39"/>
        <v>59.420907896582953</v>
      </c>
      <c r="M190" s="119">
        <f t="shared" si="42"/>
        <v>0</v>
      </c>
      <c r="N190" s="119">
        <f t="shared" si="43"/>
        <v>59.420907896582953</v>
      </c>
      <c r="O190" s="119">
        <v>0</v>
      </c>
      <c r="P190" s="119">
        <f t="shared" si="44"/>
        <v>59.420907896582953</v>
      </c>
    </row>
    <row r="191" spans="1:16" x14ac:dyDescent="0.2">
      <c r="A191" s="188">
        <v>48396</v>
      </c>
      <c r="B191" s="119">
        <f>VLOOKUP(A191,'ESAI - Q3 - Base Case'!$A$5:$J$342,9)</f>
        <v>98.712969859660603</v>
      </c>
      <c r="C191" s="119">
        <f t="shared" si="55"/>
        <v>0</v>
      </c>
      <c r="D191" s="119">
        <f t="shared" si="48"/>
        <v>101.67435895545043</v>
      </c>
      <c r="E191" s="119">
        <f t="shared" si="56"/>
        <v>0</v>
      </c>
      <c r="F191" s="119">
        <f t="shared" si="47"/>
        <v>101.67435895545043</v>
      </c>
      <c r="G191" s="119">
        <v>0</v>
      </c>
      <c r="H191" s="119">
        <f t="shared" si="40"/>
        <v>101.67435895545043</v>
      </c>
      <c r="J191" s="119">
        <f>VLOOKUP(A191,'ESAI - Q3 - Base Case'!$A$5:$J$342,10)</f>
        <v>60.743746293596935</v>
      </c>
      <c r="K191" s="119">
        <f t="shared" si="41"/>
        <v>0</v>
      </c>
      <c r="L191" s="119">
        <f t="shared" si="39"/>
        <v>62.566058682404844</v>
      </c>
      <c r="M191" s="119">
        <f t="shared" si="42"/>
        <v>0</v>
      </c>
      <c r="N191" s="119">
        <f t="shared" si="43"/>
        <v>62.566058682404844</v>
      </c>
      <c r="O191" s="119">
        <v>0</v>
      </c>
      <c r="P191" s="119">
        <f t="shared" si="44"/>
        <v>62.566058682404844</v>
      </c>
    </row>
    <row r="192" spans="1:16" x14ac:dyDescent="0.2">
      <c r="A192" s="188">
        <v>48427</v>
      </c>
      <c r="B192" s="119">
        <f>VLOOKUP(A192,'ESAI - Q3 - Base Case'!$A$5:$J$342,9)</f>
        <v>77.177384300833197</v>
      </c>
      <c r="C192" s="119">
        <f t="shared" si="55"/>
        <v>0</v>
      </c>
      <c r="D192" s="119">
        <f t="shared" si="48"/>
        <v>79.492705829858195</v>
      </c>
      <c r="E192" s="119">
        <f t="shared" si="56"/>
        <v>0</v>
      </c>
      <c r="F192" s="119">
        <f t="shared" si="47"/>
        <v>79.492705829858195</v>
      </c>
      <c r="G192" s="119">
        <v>0</v>
      </c>
      <c r="H192" s="119">
        <f t="shared" si="40"/>
        <v>79.492705829858195</v>
      </c>
      <c r="J192" s="119">
        <f>VLOOKUP(A192,'ESAI - Q3 - Base Case'!$A$5:$J$342,10)</f>
        <v>59.80704294440131</v>
      </c>
      <c r="K192" s="119">
        <f t="shared" si="41"/>
        <v>0</v>
      </c>
      <c r="L192" s="119">
        <f t="shared" si="39"/>
        <v>61.601254232733353</v>
      </c>
      <c r="M192" s="119">
        <f t="shared" si="42"/>
        <v>0</v>
      </c>
      <c r="N192" s="119">
        <f t="shared" si="43"/>
        <v>61.601254232733353</v>
      </c>
      <c r="O192" s="119">
        <v>0</v>
      </c>
      <c r="P192" s="119">
        <f t="shared" si="44"/>
        <v>61.601254232733353</v>
      </c>
    </row>
    <row r="193" spans="1:16" x14ac:dyDescent="0.2">
      <c r="A193" s="188">
        <v>48458</v>
      </c>
      <c r="B193" s="119">
        <f>VLOOKUP(A193,'ESAI - Q3 - Base Case'!$A$5:$J$342,9)</f>
        <v>64.934758819036716</v>
      </c>
      <c r="C193" s="119">
        <f t="shared" si="55"/>
        <v>0</v>
      </c>
      <c r="D193" s="119">
        <f t="shared" si="48"/>
        <v>66.882801583607815</v>
      </c>
      <c r="E193" s="119">
        <f t="shared" si="56"/>
        <v>0</v>
      </c>
      <c r="F193" s="119">
        <f t="shared" si="47"/>
        <v>66.882801583607815</v>
      </c>
      <c r="G193" s="119">
        <v>0</v>
      </c>
      <c r="H193" s="119">
        <f t="shared" si="40"/>
        <v>66.882801583607815</v>
      </c>
      <c r="J193" s="119">
        <f>VLOOKUP(A193,'ESAI - Q3 - Base Case'!$A$5:$J$342,10)</f>
        <v>56.865062080459381</v>
      </c>
      <c r="K193" s="119">
        <f t="shared" si="41"/>
        <v>0</v>
      </c>
      <c r="L193" s="119">
        <f t="shared" si="39"/>
        <v>58.571013942873165</v>
      </c>
      <c r="M193" s="119">
        <f t="shared" si="42"/>
        <v>0</v>
      </c>
      <c r="N193" s="119">
        <f t="shared" si="43"/>
        <v>58.571013942873165</v>
      </c>
      <c r="O193" s="119">
        <v>0</v>
      </c>
      <c r="P193" s="119">
        <f t="shared" si="44"/>
        <v>58.571013942873165</v>
      </c>
    </row>
    <row r="194" spans="1:16" x14ac:dyDescent="0.2">
      <c r="A194" s="188">
        <v>48488</v>
      </c>
      <c r="B194" s="119">
        <f>VLOOKUP(A194,'ESAI - Q3 - Base Case'!$A$5:$J$342,9)</f>
        <v>62.119955642932837</v>
      </c>
      <c r="C194" s="119">
        <f t="shared" si="55"/>
        <v>0</v>
      </c>
      <c r="D194" s="119">
        <f t="shared" si="48"/>
        <v>63.983554312220825</v>
      </c>
      <c r="E194" s="119">
        <f t="shared" si="56"/>
        <v>0</v>
      </c>
      <c r="F194" s="119">
        <f t="shared" si="47"/>
        <v>63.983554312220825</v>
      </c>
      <c r="G194" s="119">
        <v>0</v>
      </c>
      <c r="H194" s="119">
        <f t="shared" si="40"/>
        <v>63.983554312220825</v>
      </c>
      <c r="J194" s="119">
        <f>VLOOKUP(A194,'ESAI - Q3 - Base Case'!$A$5:$J$342,10)</f>
        <v>54.349523253458635</v>
      </c>
      <c r="K194" s="119">
        <f t="shared" si="41"/>
        <v>0</v>
      </c>
      <c r="L194" s="119">
        <f t="shared" si="39"/>
        <v>55.980008951062395</v>
      </c>
      <c r="M194" s="119">
        <f t="shared" si="42"/>
        <v>0</v>
      </c>
      <c r="N194" s="119">
        <f t="shared" si="43"/>
        <v>55.980008951062395</v>
      </c>
      <c r="O194" s="119">
        <v>0</v>
      </c>
      <c r="P194" s="119">
        <f t="shared" si="44"/>
        <v>55.980008951062395</v>
      </c>
    </row>
    <row r="195" spans="1:16" x14ac:dyDescent="0.2">
      <c r="A195" s="188">
        <v>48519</v>
      </c>
      <c r="B195" s="119">
        <f>VLOOKUP(A195,'ESAI - Q3 - Base Case'!$A$5:$J$342,9)</f>
        <v>71.372988776731248</v>
      </c>
      <c r="C195" s="119">
        <f t="shared" si="55"/>
        <v>0</v>
      </c>
      <c r="D195" s="119">
        <f t="shared" si="48"/>
        <v>73.514178440033191</v>
      </c>
      <c r="E195" s="119">
        <f t="shared" si="56"/>
        <v>0</v>
      </c>
      <c r="F195" s="119">
        <f t="shared" si="47"/>
        <v>73.514178440033191</v>
      </c>
      <c r="G195" s="119">
        <v>0</v>
      </c>
      <c r="H195" s="119">
        <f t="shared" si="40"/>
        <v>73.514178440033191</v>
      </c>
      <c r="J195" s="119">
        <f>VLOOKUP(A195,'ESAI - Q3 - Base Case'!$A$5:$J$342,10)</f>
        <v>59.872168940283927</v>
      </c>
      <c r="K195" s="119">
        <f t="shared" si="41"/>
        <v>0</v>
      </c>
      <c r="L195" s="119">
        <f t="shared" si="39"/>
        <v>61.668334008492444</v>
      </c>
      <c r="M195" s="119">
        <f t="shared" si="42"/>
        <v>0</v>
      </c>
      <c r="N195" s="119">
        <f t="shared" si="43"/>
        <v>61.668334008492444</v>
      </c>
      <c r="O195" s="119">
        <v>0</v>
      </c>
      <c r="P195" s="119">
        <f t="shared" si="44"/>
        <v>61.668334008492444</v>
      </c>
    </row>
    <row r="196" spans="1:16" x14ac:dyDescent="0.2">
      <c r="A196" s="188">
        <v>48549</v>
      </c>
      <c r="B196" s="119">
        <f>VLOOKUP(A196,'ESAI - Q3 - Base Case'!$A$5:$J$342,9)</f>
        <v>103.06116440159215</v>
      </c>
      <c r="C196" s="119">
        <f t="shared" si="55"/>
        <v>0</v>
      </c>
      <c r="D196" s="119">
        <f t="shared" si="48"/>
        <v>106.15299933363991</v>
      </c>
      <c r="E196" s="119">
        <f t="shared" si="56"/>
        <v>0</v>
      </c>
      <c r="F196" s="119">
        <f t="shared" si="47"/>
        <v>106.15299933363991</v>
      </c>
      <c r="G196" s="119">
        <v>0</v>
      </c>
      <c r="H196" s="119">
        <f t="shared" si="40"/>
        <v>106.15299933363991</v>
      </c>
      <c r="J196" s="119">
        <f>VLOOKUP(A196,'ESAI - Q3 - Base Case'!$A$5:$J$342,10)</f>
        <v>77.9812184772438</v>
      </c>
      <c r="K196" s="119">
        <f t="shared" si="41"/>
        <v>0</v>
      </c>
      <c r="L196" s="119">
        <f t="shared" si="39"/>
        <v>80.320655031561117</v>
      </c>
      <c r="M196" s="119">
        <f t="shared" si="42"/>
        <v>0</v>
      </c>
      <c r="N196" s="119">
        <f t="shared" si="43"/>
        <v>80.320655031561117</v>
      </c>
      <c r="O196" s="119">
        <v>0</v>
      </c>
      <c r="P196" s="119">
        <f t="shared" si="44"/>
        <v>80.320655031561117</v>
      </c>
    </row>
    <row r="197" spans="1:16" x14ac:dyDescent="0.2">
      <c r="A197" s="188">
        <v>48580</v>
      </c>
      <c r="B197" s="119">
        <f>VLOOKUP(A197,'ESAI - Q3 - Base Case'!$A$5:$J$342,9)</f>
        <v>144.41222629220917</v>
      </c>
      <c r="C197" s="119">
        <f>C185*(1+'Firm Purchase Revenue Reqmnt'!$I$71)</f>
        <v>0</v>
      </c>
      <c r="D197" s="119">
        <f t="shared" si="48"/>
        <v>148.74459308097545</v>
      </c>
      <c r="E197" s="120">
        <f>E185*(1+$E$2)</f>
        <v>0</v>
      </c>
      <c r="F197" s="119">
        <f t="shared" si="47"/>
        <v>148.74459308097545</v>
      </c>
      <c r="G197" s="120">
        <v>0</v>
      </c>
      <c r="H197" s="119">
        <f t="shared" si="40"/>
        <v>148.74459308097545</v>
      </c>
      <c r="J197" s="119">
        <f>VLOOKUP(A197,'ESAI - Q3 - Base Case'!$A$5:$J$342,10)</f>
        <v>97.576632501319168</v>
      </c>
      <c r="K197" s="119">
        <f t="shared" si="41"/>
        <v>0</v>
      </c>
      <c r="L197" s="119">
        <f t="shared" ref="L197:L260" si="57">SUM(J197:K197)*ForEx</f>
        <v>100.50393147635874</v>
      </c>
      <c r="M197" s="120">
        <f t="shared" si="42"/>
        <v>0</v>
      </c>
      <c r="N197" s="119">
        <f t="shared" si="43"/>
        <v>100.50393147635874</v>
      </c>
      <c r="O197" s="120">
        <v>0</v>
      </c>
      <c r="P197" s="119">
        <f t="shared" si="44"/>
        <v>100.50393147635874</v>
      </c>
    </row>
    <row r="198" spans="1:16" x14ac:dyDescent="0.2">
      <c r="A198" s="188">
        <v>48611</v>
      </c>
      <c r="B198" s="119">
        <f>VLOOKUP(A198,'ESAI - Q3 - Base Case'!$A$5:$J$342,9)</f>
        <v>104.7538577614874</v>
      </c>
      <c r="C198" s="119">
        <f>C197</f>
        <v>0</v>
      </c>
      <c r="D198" s="119">
        <f t="shared" si="48"/>
        <v>107.89647349433201</v>
      </c>
      <c r="E198" s="119">
        <f>E197</f>
        <v>0</v>
      </c>
      <c r="F198" s="119">
        <f t="shared" si="47"/>
        <v>107.89647349433201</v>
      </c>
      <c r="G198" s="119">
        <v>0</v>
      </c>
      <c r="H198" s="119">
        <f t="shared" ref="H198:H261" si="58">G198+F198</f>
        <v>107.89647349433201</v>
      </c>
      <c r="J198" s="119">
        <f>VLOOKUP(A198,'ESAI - Q3 - Base Case'!$A$5:$J$342,10)</f>
        <v>87.836234622496221</v>
      </c>
      <c r="K198" s="119">
        <f t="shared" ref="K198:K261" si="59">C198</f>
        <v>0</v>
      </c>
      <c r="L198" s="119">
        <f t="shared" si="57"/>
        <v>90.471321661171103</v>
      </c>
      <c r="M198" s="119">
        <f t="shared" ref="M198:M261" si="60">E198</f>
        <v>0</v>
      </c>
      <c r="N198" s="119">
        <f t="shared" ref="N198:N261" si="61">L198-M198</f>
        <v>90.471321661171103</v>
      </c>
      <c r="O198" s="119">
        <v>0</v>
      </c>
      <c r="P198" s="119">
        <f t="shared" ref="P198:P261" si="62">N198-O198</f>
        <v>90.471321661171103</v>
      </c>
    </row>
    <row r="199" spans="1:16" x14ac:dyDescent="0.2">
      <c r="A199" s="188">
        <v>48639</v>
      </c>
      <c r="B199" s="119">
        <f>VLOOKUP(A199,'ESAI - Q3 - Base Case'!$A$5:$J$342,9)</f>
        <v>73.734697626856061</v>
      </c>
      <c r="C199" s="119">
        <f t="shared" ref="C199:C208" si="63">C198</f>
        <v>0</v>
      </c>
      <c r="D199" s="119">
        <f t="shared" si="48"/>
        <v>75.946738555661739</v>
      </c>
      <c r="E199" s="119">
        <f t="shared" ref="E199:E208" si="64">E198</f>
        <v>0</v>
      </c>
      <c r="F199" s="119">
        <f t="shared" si="47"/>
        <v>75.946738555661739</v>
      </c>
      <c r="G199" s="119">
        <v>0</v>
      </c>
      <c r="H199" s="119">
        <f t="shared" si="58"/>
        <v>75.946738555661739</v>
      </c>
      <c r="J199" s="119">
        <f>VLOOKUP(A199,'ESAI - Q3 - Base Case'!$A$5:$J$342,10)</f>
        <v>61.802647372726611</v>
      </c>
      <c r="K199" s="119">
        <f t="shared" si="59"/>
        <v>0</v>
      </c>
      <c r="L199" s="119">
        <f t="shared" si="57"/>
        <v>63.656726793908412</v>
      </c>
      <c r="M199" s="119">
        <f t="shared" si="60"/>
        <v>0</v>
      </c>
      <c r="N199" s="119">
        <f t="shared" si="61"/>
        <v>63.656726793908412</v>
      </c>
      <c r="O199" s="119">
        <v>0</v>
      </c>
      <c r="P199" s="119">
        <f t="shared" si="62"/>
        <v>63.656726793908412</v>
      </c>
    </row>
    <row r="200" spans="1:16" x14ac:dyDescent="0.2">
      <c r="A200" s="188">
        <v>48670</v>
      </c>
      <c r="B200" s="119">
        <f>VLOOKUP(A200,'ESAI - Q3 - Base Case'!$A$5:$J$342,9)</f>
        <v>68.935002984227765</v>
      </c>
      <c r="C200" s="119">
        <f t="shared" si="63"/>
        <v>0</v>
      </c>
      <c r="D200" s="119">
        <f t="shared" si="48"/>
        <v>71.0030530737546</v>
      </c>
      <c r="E200" s="119">
        <f t="shared" si="64"/>
        <v>0</v>
      </c>
      <c r="F200" s="119">
        <f t="shared" si="47"/>
        <v>71.0030530737546</v>
      </c>
      <c r="G200" s="119">
        <v>0</v>
      </c>
      <c r="H200" s="119">
        <f t="shared" si="58"/>
        <v>71.0030530737546</v>
      </c>
      <c r="J200" s="119">
        <f>VLOOKUP(A200,'ESAI - Q3 - Base Case'!$A$5:$J$342,10)</f>
        <v>55.434806565602386</v>
      </c>
      <c r="K200" s="119">
        <f t="shared" si="59"/>
        <v>0</v>
      </c>
      <c r="L200" s="119">
        <f t="shared" si="57"/>
        <v>57.097850762570459</v>
      </c>
      <c r="M200" s="119">
        <f t="shared" si="60"/>
        <v>0</v>
      </c>
      <c r="N200" s="119">
        <f t="shared" si="61"/>
        <v>57.097850762570459</v>
      </c>
      <c r="O200" s="119">
        <v>0</v>
      </c>
      <c r="P200" s="119">
        <f t="shared" si="62"/>
        <v>57.097850762570459</v>
      </c>
    </row>
    <row r="201" spans="1:16" x14ac:dyDescent="0.2">
      <c r="A201" s="188">
        <v>48700</v>
      </c>
      <c r="B201" s="119">
        <f>VLOOKUP(A201,'ESAI - Q3 - Base Case'!$A$5:$J$342,9)</f>
        <v>77.900331054169868</v>
      </c>
      <c r="C201" s="119">
        <f t="shared" si="63"/>
        <v>0</v>
      </c>
      <c r="D201" s="119">
        <f t="shared" si="48"/>
        <v>80.237340985794972</v>
      </c>
      <c r="E201" s="119">
        <f t="shared" si="64"/>
        <v>0</v>
      </c>
      <c r="F201" s="119">
        <f t="shared" si="47"/>
        <v>80.237340985794972</v>
      </c>
      <c r="G201" s="119">
        <v>0</v>
      </c>
      <c r="H201" s="119">
        <f t="shared" si="58"/>
        <v>80.237340985794972</v>
      </c>
      <c r="J201" s="119">
        <f>VLOOKUP(A201,'ESAI - Q3 - Base Case'!$A$5:$J$342,10)</f>
        <v>57.44233882994746</v>
      </c>
      <c r="K201" s="119">
        <f t="shared" si="59"/>
        <v>0</v>
      </c>
      <c r="L201" s="119">
        <f t="shared" si="57"/>
        <v>59.165608994845883</v>
      </c>
      <c r="M201" s="119">
        <f t="shared" si="60"/>
        <v>0</v>
      </c>
      <c r="N201" s="119">
        <f t="shared" si="61"/>
        <v>59.165608994845883</v>
      </c>
      <c r="O201" s="119">
        <v>0</v>
      </c>
      <c r="P201" s="119">
        <f t="shared" si="62"/>
        <v>59.165608994845883</v>
      </c>
    </row>
    <row r="202" spans="1:16" x14ac:dyDescent="0.2">
      <c r="A202" s="188">
        <v>48731</v>
      </c>
      <c r="B202" s="119">
        <f>VLOOKUP(A202,'ESAI - Q3 - Base Case'!$A$5:$J$342,9)</f>
        <v>82.460901193182011</v>
      </c>
      <c r="C202" s="119">
        <f t="shared" si="63"/>
        <v>0</v>
      </c>
      <c r="D202" s="119">
        <f t="shared" si="48"/>
        <v>84.934728228977477</v>
      </c>
      <c r="E202" s="119">
        <f t="shared" si="64"/>
        <v>0</v>
      </c>
      <c r="F202" s="119">
        <f t="shared" si="47"/>
        <v>84.934728228977477</v>
      </c>
      <c r="G202" s="119">
        <v>0</v>
      </c>
      <c r="H202" s="119">
        <f t="shared" si="58"/>
        <v>84.934728228977477</v>
      </c>
      <c r="J202" s="119">
        <f>VLOOKUP(A202,'ESAI - Q3 - Base Case'!$A$5:$J$342,10)</f>
        <v>58.844005878169526</v>
      </c>
      <c r="K202" s="119">
        <f t="shared" si="59"/>
        <v>0</v>
      </c>
      <c r="L202" s="119">
        <f t="shared" si="57"/>
        <v>60.609326054514611</v>
      </c>
      <c r="M202" s="119">
        <f t="shared" si="60"/>
        <v>0</v>
      </c>
      <c r="N202" s="119">
        <f t="shared" si="61"/>
        <v>60.609326054514611</v>
      </c>
      <c r="O202" s="119">
        <v>0</v>
      </c>
      <c r="P202" s="119">
        <f t="shared" si="62"/>
        <v>60.609326054514611</v>
      </c>
    </row>
    <row r="203" spans="1:16" x14ac:dyDescent="0.2">
      <c r="A203" s="188">
        <v>48761</v>
      </c>
      <c r="B203" s="119">
        <f>VLOOKUP(A203,'ESAI - Q3 - Base Case'!$A$5:$J$342,9)</f>
        <v>100.68722925685381</v>
      </c>
      <c r="C203" s="119">
        <f t="shared" si="63"/>
        <v>0</v>
      </c>
      <c r="D203" s="119">
        <f t="shared" si="48"/>
        <v>103.70784613455943</v>
      </c>
      <c r="E203" s="119">
        <f t="shared" si="64"/>
        <v>0</v>
      </c>
      <c r="F203" s="119">
        <f t="shared" si="47"/>
        <v>103.70784613455943</v>
      </c>
      <c r="G203" s="119">
        <v>0</v>
      </c>
      <c r="H203" s="119">
        <f t="shared" si="58"/>
        <v>103.70784613455943</v>
      </c>
      <c r="J203" s="119">
        <f>VLOOKUP(A203,'ESAI - Q3 - Base Case'!$A$5:$J$342,10)</f>
        <v>61.958621219468874</v>
      </c>
      <c r="K203" s="119">
        <f t="shared" si="59"/>
        <v>0</v>
      </c>
      <c r="L203" s="119">
        <f t="shared" si="57"/>
        <v>63.817379856052945</v>
      </c>
      <c r="M203" s="119">
        <f t="shared" si="60"/>
        <v>0</v>
      </c>
      <c r="N203" s="119">
        <f t="shared" si="61"/>
        <v>63.817379856052945</v>
      </c>
      <c r="O203" s="119">
        <v>0</v>
      </c>
      <c r="P203" s="119">
        <f t="shared" si="62"/>
        <v>63.817379856052945</v>
      </c>
    </row>
    <row r="204" spans="1:16" x14ac:dyDescent="0.2">
      <c r="A204" s="188">
        <v>48792</v>
      </c>
      <c r="B204" s="119">
        <f>VLOOKUP(A204,'ESAI - Q3 - Base Case'!$A$5:$J$342,9)</f>
        <v>78.720931986849862</v>
      </c>
      <c r="C204" s="119">
        <f t="shared" si="63"/>
        <v>0</v>
      </c>
      <c r="D204" s="119">
        <f t="shared" si="48"/>
        <v>81.082559946455362</v>
      </c>
      <c r="E204" s="119">
        <f t="shared" si="64"/>
        <v>0</v>
      </c>
      <c r="F204" s="119">
        <f t="shared" si="47"/>
        <v>81.082559946455362</v>
      </c>
      <c r="G204" s="119">
        <v>0</v>
      </c>
      <c r="H204" s="119">
        <f t="shared" si="58"/>
        <v>81.082559946455362</v>
      </c>
      <c r="J204" s="119">
        <f>VLOOKUP(A204,'ESAI - Q3 - Base Case'!$A$5:$J$342,10)</f>
        <v>61.003183803289339</v>
      </c>
      <c r="K204" s="119">
        <f t="shared" si="59"/>
        <v>0</v>
      </c>
      <c r="L204" s="119">
        <f t="shared" si="57"/>
        <v>62.833279317388019</v>
      </c>
      <c r="M204" s="119">
        <f t="shared" si="60"/>
        <v>0</v>
      </c>
      <c r="N204" s="119">
        <f t="shared" si="61"/>
        <v>62.833279317388019</v>
      </c>
      <c r="O204" s="119">
        <v>0</v>
      </c>
      <c r="P204" s="119">
        <f t="shared" si="62"/>
        <v>62.833279317388019</v>
      </c>
    </row>
    <row r="205" spans="1:16" x14ac:dyDescent="0.2">
      <c r="A205" s="188">
        <v>48823</v>
      </c>
      <c r="B205" s="119">
        <f>VLOOKUP(A205,'ESAI - Q3 - Base Case'!$A$5:$J$342,9)</f>
        <v>66.233453995417449</v>
      </c>
      <c r="C205" s="119">
        <f t="shared" si="63"/>
        <v>0</v>
      </c>
      <c r="D205" s="119">
        <f t="shared" si="48"/>
        <v>68.220457615279969</v>
      </c>
      <c r="E205" s="119">
        <f t="shared" si="64"/>
        <v>0</v>
      </c>
      <c r="F205" s="119">
        <f t="shared" si="47"/>
        <v>68.220457615279969</v>
      </c>
      <c r="G205" s="119">
        <v>0</v>
      </c>
      <c r="H205" s="119">
        <f t="shared" si="58"/>
        <v>68.220457615279969</v>
      </c>
      <c r="J205" s="119">
        <f>VLOOKUP(A205,'ESAI - Q3 - Base Case'!$A$5:$J$342,10)</f>
        <v>58.002363322068568</v>
      </c>
      <c r="K205" s="119">
        <f t="shared" si="59"/>
        <v>0</v>
      </c>
      <c r="L205" s="119">
        <f t="shared" si="57"/>
        <v>59.742434221730626</v>
      </c>
      <c r="M205" s="119">
        <f t="shared" si="60"/>
        <v>0</v>
      </c>
      <c r="N205" s="119">
        <f t="shared" si="61"/>
        <v>59.742434221730626</v>
      </c>
      <c r="O205" s="119">
        <v>0</v>
      </c>
      <c r="P205" s="119">
        <f t="shared" si="62"/>
        <v>59.742434221730626</v>
      </c>
    </row>
    <row r="206" spans="1:16" x14ac:dyDescent="0.2">
      <c r="A206" s="188">
        <v>48853</v>
      </c>
      <c r="B206" s="119">
        <f>VLOOKUP(A206,'ESAI - Q3 - Base Case'!$A$5:$J$342,9)</f>
        <v>63.362354755791493</v>
      </c>
      <c r="C206" s="119">
        <f t="shared" si="63"/>
        <v>0</v>
      </c>
      <c r="D206" s="119">
        <f t="shared" si="48"/>
        <v>65.263225398465238</v>
      </c>
      <c r="E206" s="119">
        <f t="shared" si="64"/>
        <v>0</v>
      </c>
      <c r="F206" s="119">
        <f t="shared" si="47"/>
        <v>65.263225398465238</v>
      </c>
      <c r="G206" s="119">
        <v>0</v>
      </c>
      <c r="H206" s="119">
        <f t="shared" si="58"/>
        <v>65.263225398465238</v>
      </c>
      <c r="J206" s="119">
        <f>VLOOKUP(A206,'ESAI - Q3 - Base Case'!$A$5:$J$342,10)</f>
        <v>55.436513718527806</v>
      </c>
      <c r="K206" s="119">
        <f t="shared" si="59"/>
        <v>0</v>
      </c>
      <c r="L206" s="119">
        <f t="shared" si="57"/>
        <v>57.099609130083643</v>
      </c>
      <c r="M206" s="119">
        <f t="shared" si="60"/>
        <v>0</v>
      </c>
      <c r="N206" s="119">
        <f t="shared" si="61"/>
        <v>57.099609130083643</v>
      </c>
      <c r="O206" s="119">
        <v>0</v>
      </c>
      <c r="P206" s="119">
        <f t="shared" si="62"/>
        <v>57.099609130083643</v>
      </c>
    </row>
    <row r="207" spans="1:16" x14ac:dyDescent="0.2">
      <c r="A207" s="188">
        <v>48884</v>
      </c>
      <c r="B207" s="119">
        <f>VLOOKUP(A207,'ESAI - Q3 - Base Case'!$A$5:$J$342,9)</f>
        <v>72.800448552265877</v>
      </c>
      <c r="C207" s="119">
        <f t="shared" si="63"/>
        <v>0</v>
      </c>
      <c r="D207" s="119">
        <f t="shared" si="48"/>
        <v>74.984462008833859</v>
      </c>
      <c r="E207" s="119">
        <f t="shared" si="64"/>
        <v>0</v>
      </c>
      <c r="F207" s="119">
        <f t="shared" si="47"/>
        <v>74.984462008833859</v>
      </c>
      <c r="G207" s="119">
        <v>0</v>
      </c>
      <c r="H207" s="119">
        <f t="shared" si="58"/>
        <v>74.984462008833859</v>
      </c>
      <c r="J207" s="119">
        <f>VLOOKUP(A207,'ESAI - Q3 - Base Case'!$A$5:$J$342,10)</f>
        <v>61.069612319089607</v>
      </c>
      <c r="K207" s="119">
        <f t="shared" si="59"/>
        <v>0</v>
      </c>
      <c r="L207" s="119">
        <f t="shared" si="57"/>
        <v>62.901700688662295</v>
      </c>
      <c r="M207" s="119">
        <f t="shared" si="60"/>
        <v>0</v>
      </c>
      <c r="N207" s="119">
        <f t="shared" si="61"/>
        <v>62.901700688662295</v>
      </c>
      <c r="O207" s="119">
        <v>0</v>
      </c>
      <c r="P207" s="119">
        <f t="shared" si="62"/>
        <v>62.901700688662295</v>
      </c>
    </row>
    <row r="208" spans="1:16" x14ac:dyDescent="0.2">
      <c r="A208" s="188">
        <v>48914</v>
      </c>
      <c r="B208" s="119">
        <f>VLOOKUP(A208,'ESAI - Q3 - Base Case'!$A$5:$J$342,9)</f>
        <v>105.12238768962399</v>
      </c>
      <c r="C208" s="119">
        <f t="shared" si="63"/>
        <v>0</v>
      </c>
      <c r="D208" s="119">
        <f t="shared" si="48"/>
        <v>108.27605932031271</v>
      </c>
      <c r="E208" s="119">
        <f t="shared" si="64"/>
        <v>0</v>
      </c>
      <c r="F208" s="119">
        <f t="shared" si="47"/>
        <v>108.27605932031271</v>
      </c>
      <c r="G208" s="119">
        <v>0</v>
      </c>
      <c r="H208" s="119">
        <f t="shared" si="58"/>
        <v>108.27605932031271</v>
      </c>
      <c r="J208" s="119">
        <f>VLOOKUP(A208,'ESAI - Q3 - Base Case'!$A$5:$J$342,10)</f>
        <v>79.540842846788678</v>
      </c>
      <c r="K208" s="119">
        <f t="shared" si="59"/>
        <v>0</v>
      </c>
      <c r="L208" s="119">
        <f t="shared" si="57"/>
        <v>81.927068132192346</v>
      </c>
      <c r="M208" s="119">
        <f t="shared" si="60"/>
        <v>0</v>
      </c>
      <c r="N208" s="119">
        <f t="shared" si="61"/>
        <v>81.927068132192346</v>
      </c>
      <c r="O208" s="119">
        <v>0</v>
      </c>
      <c r="P208" s="119">
        <f t="shared" si="62"/>
        <v>81.927068132192346</v>
      </c>
    </row>
    <row r="209" spans="1:16" x14ac:dyDescent="0.2">
      <c r="A209" s="188">
        <v>48945</v>
      </c>
      <c r="B209" s="119">
        <f>VLOOKUP(A209,'ESAI - Q3 - Base Case'!$A$5:$J$342,9)</f>
        <v>147.30047081805336</v>
      </c>
      <c r="C209" s="119">
        <f>C197*(1+'Firm Purchase Revenue Reqmnt'!$I$71)</f>
        <v>0</v>
      </c>
      <c r="D209" s="119">
        <f t="shared" si="48"/>
        <v>151.71948494259496</v>
      </c>
      <c r="E209" s="120">
        <f>E197*(1+$E$2)</f>
        <v>0</v>
      </c>
      <c r="F209" s="119">
        <f t="shared" si="47"/>
        <v>151.71948494259496</v>
      </c>
      <c r="G209" s="120">
        <v>0</v>
      </c>
      <c r="H209" s="119">
        <f t="shared" si="58"/>
        <v>151.71948494259496</v>
      </c>
      <c r="J209" s="119">
        <f>VLOOKUP(A209,'ESAI - Q3 - Base Case'!$A$5:$J$342,10)</f>
        <v>99.528165151345547</v>
      </c>
      <c r="K209" s="119">
        <f t="shared" si="59"/>
        <v>0</v>
      </c>
      <c r="L209" s="119">
        <f t="shared" si="57"/>
        <v>102.51401010588592</v>
      </c>
      <c r="M209" s="120">
        <f t="shared" si="60"/>
        <v>0</v>
      </c>
      <c r="N209" s="119">
        <f t="shared" si="61"/>
        <v>102.51401010588592</v>
      </c>
      <c r="O209" s="120">
        <v>0</v>
      </c>
      <c r="P209" s="119">
        <f t="shared" si="62"/>
        <v>102.51401010588592</v>
      </c>
    </row>
    <row r="210" spans="1:16" x14ac:dyDescent="0.2">
      <c r="A210" s="188">
        <v>48976</v>
      </c>
      <c r="B210" s="119">
        <f>VLOOKUP(A210,'ESAI - Q3 - Base Case'!$A$5:$J$342,9)</f>
        <v>106.84893491671714</v>
      </c>
      <c r="C210" s="119">
        <f>C209</f>
        <v>0</v>
      </c>
      <c r="D210" s="119">
        <f t="shared" si="48"/>
        <v>110.05440296421865</v>
      </c>
      <c r="E210" s="119">
        <f>E209</f>
        <v>0</v>
      </c>
      <c r="F210" s="119">
        <f t="shared" si="47"/>
        <v>110.05440296421865</v>
      </c>
      <c r="G210" s="119">
        <v>0</v>
      </c>
      <c r="H210" s="119">
        <f t="shared" si="58"/>
        <v>110.05440296421865</v>
      </c>
      <c r="J210" s="119">
        <f>VLOOKUP(A210,'ESAI - Q3 - Base Case'!$A$5:$J$342,10)</f>
        <v>89.592959314946143</v>
      </c>
      <c r="K210" s="119">
        <f t="shared" si="59"/>
        <v>0</v>
      </c>
      <c r="L210" s="119">
        <f t="shared" si="57"/>
        <v>92.280748094394525</v>
      </c>
      <c r="M210" s="119">
        <f t="shared" si="60"/>
        <v>0</v>
      </c>
      <c r="N210" s="119">
        <f t="shared" si="61"/>
        <v>92.280748094394525</v>
      </c>
      <c r="O210" s="119">
        <v>0</v>
      </c>
      <c r="P210" s="119">
        <f t="shared" si="62"/>
        <v>92.280748094394525</v>
      </c>
    </row>
    <row r="211" spans="1:16" x14ac:dyDescent="0.2">
      <c r="A211" s="188">
        <v>49004</v>
      </c>
      <c r="B211" s="119">
        <f>VLOOKUP(A211,'ESAI - Q3 - Base Case'!$A$5:$J$342,9)</f>
        <v>75.209391579393184</v>
      </c>
      <c r="C211" s="119">
        <f t="shared" ref="C211:C220" si="65">C210</f>
        <v>0</v>
      </c>
      <c r="D211" s="119">
        <f t="shared" si="48"/>
        <v>77.465673326774976</v>
      </c>
      <c r="E211" s="119">
        <f t="shared" ref="E211:E220" si="66">E210</f>
        <v>0</v>
      </c>
      <c r="F211" s="119">
        <f t="shared" ref="F211:F274" si="67">D211-E211</f>
        <v>77.465673326774976</v>
      </c>
      <c r="G211" s="119">
        <v>0</v>
      </c>
      <c r="H211" s="119">
        <f t="shared" si="58"/>
        <v>77.465673326774976</v>
      </c>
      <c r="J211" s="119">
        <f>VLOOKUP(A211,'ESAI - Q3 - Base Case'!$A$5:$J$342,10)</f>
        <v>63.038700320181142</v>
      </c>
      <c r="K211" s="119">
        <f t="shared" si="59"/>
        <v>0</v>
      </c>
      <c r="L211" s="119">
        <f t="shared" si="57"/>
        <v>64.929861329786576</v>
      </c>
      <c r="M211" s="119">
        <f t="shared" si="60"/>
        <v>0</v>
      </c>
      <c r="N211" s="119">
        <f t="shared" si="61"/>
        <v>64.929861329786576</v>
      </c>
      <c r="O211" s="119">
        <v>0</v>
      </c>
      <c r="P211" s="119">
        <f t="shared" si="62"/>
        <v>64.929861329786576</v>
      </c>
    </row>
    <row r="212" spans="1:16" x14ac:dyDescent="0.2">
      <c r="A212" s="188">
        <v>49035</v>
      </c>
      <c r="B212" s="119">
        <f>VLOOKUP(A212,'ESAI - Q3 - Base Case'!$A$5:$J$342,9)</f>
        <v>70.313703043912327</v>
      </c>
      <c r="C212" s="119">
        <f t="shared" si="65"/>
        <v>0</v>
      </c>
      <c r="D212" s="119">
        <f t="shared" ref="D212:D275" si="68">SUM(B212:C212)*ForEx</f>
        <v>72.423114135229696</v>
      </c>
      <c r="E212" s="119">
        <f t="shared" si="66"/>
        <v>0</v>
      </c>
      <c r="F212" s="119">
        <f t="shared" si="67"/>
        <v>72.423114135229696</v>
      </c>
      <c r="G212" s="119">
        <v>0</v>
      </c>
      <c r="H212" s="119">
        <f t="shared" si="58"/>
        <v>72.423114135229696</v>
      </c>
      <c r="J212" s="119">
        <f>VLOOKUP(A212,'ESAI - Q3 - Base Case'!$A$5:$J$342,10)</f>
        <v>56.543502696914437</v>
      </c>
      <c r="K212" s="119">
        <f t="shared" si="59"/>
        <v>0</v>
      </c>
      <c r="L212" s="119">
        <f t="shared" si="57"/>
        <v>58.239807777821873</v>
      </c>
      <c r="M212" s="119">
        <f t="shared" si="60"/>
        <v>0</v>
      </c>
      <c r="N212" s="119">
        <f t="shared" si="61"/>
        <v>58.239807777821873</v>
      </c>
      <c r="O212" s="119">
        <v>0</v>
      </c>
      <c r="P212" s="119">
        <f t="shared" si="62"/>
        <v>58.239807777821873</v>
      </c>
    </row>
    <row r="213" spans="1:16" x14ac:dyDescent="0.2">
      <c r="A213" s="188">
        <v>49065</v>
      </c>
      <c r="B213" s="119">
        <f>VLOOKUP(A213,'ESAI - Q3 - Base Case'!$A$5:$J$342,9)</f>
        <v>79.458337675253262</v>
      </c>
      <c r="C213" s="119">
        <f t="shared" si="65"/>
        <v>0</v>
      </c>
      <c r="D213" s="119">
        <f t="shared" si="68"/>
        <v>81.842087805510857</v>
      </c>
      <c r="E213" s="119">
        <f t="shared" si="66"/>
        <v>0</v>
      </c>
      <c r="F213" s="119">
        <f t="shared" si="67"/>
        <v>81.842087805510857</v>
      </c>
      <c r="G213" s="119">
        <v>0</v>
      </c>
      <c r="H213" s="119">
        <f t="shared" si="58"/>
        <v>81.842087805510857</v>
      </c>
      <c r="J213" s="119">
        <f>VLOOKUP(A213,'ESAI - Q3 - Base Case'!$A$5:$J$342,10)</f>
        <v>58.591185606546411</v>
      </c>
      <c r="K213" s="119">
        <f t="shared" si="59"/>
        <v>0</v>
      </c>
      <c r="L213" s="119">
        <f t="shared" si="57"/>
        <v>60.348921174742806</v>
      </c>
      <c r="M213" s="119">
        <f t="shared" si="60"/>
        <v>0</v>
      </c>
      <c r="N213" s="119">
        <f t="shared" si="61"/>
        <v>60.348921174742806</v>
      </c>
      <c r="O213" s="119">
        <v>0</v>
      </c>
      <c r="P213" s="119">
        <f t="shared" si="62"/>
        <v>60.348921174742806</v>
      </c>
    </row>
    <row r="214" spans="1:16" x14ac:dyDescent="0.2">
      <c r="A214" s="188">
        <v>49096</v>
      </c>
      <c r="B214" s="119">
        <f>VLOOKUP(A214,'ESAI - Q3 - Base Case'!$A$5:$J$342,9)</f>
        <v>84.11011921704565</v>
      </c>
      <c r="C214" s="119">
        <f t="shared" si="65"/>
        <v>0</v>
      </c>
      <c r="D214" s="119">
        <f t="shared" si="68"/>
        <v>86.633422793557017</v>
      </c>
      <c r="E214" s="119">
        <f t="shared" si="66"/>
        <v>0</v>
      </c>
      <c r="F214" s="119">
        <f t="shared" si="67"/>
        <v>86.633422793557017</v>
      </c>
      <c r="G214" s="119">
        <v>0</v>
      </c>
      <c r="H214" s="119">
        <f t="shared" si="58"/>
        <v>86.633422793557017</v>
      </c>
      <c r="J214" s="119">
        <f>VLOOKUP(A214,'ESAI - Q3 - Base Case'!$A$5:$J$342,10)</f>
        <v>60.020885995732918</v>
      </c>
      <c r="K214" s="119">
        <f t="shared" si="59"/>
        <v>0</v>
      </c>
      <c r="L214" s="119">
        <f t="shared" si="57"/>
        <v>61.821512575604906</v>
      </c>
      <c r="M214" s="119">
        <f t="shared" si="60"/>
        <v>0</v>
      </c>
      <c r="N214" s="119">
        <f t="shared" si="61"/>
        <v>61.821512575604906</v>
      </c>
      <c r="O214" s="119">
        <v>0</v>
      </c>
      <c r="P214" s="119">
        <f t="shared" si="62"/>
        <v>61.821512575604906</v>
      </c>
    </row>
    <row r="215" spans="1:16" x14ac:dyDescent="0.2">
      <c r="A215" s="188">
        <v>49126</v>
      </c>
      <c r="B215" s="119">
        <f>VLOOKUP(A215,'ESAI - Q3 - Base Case'!$A$5:$J$342,9)</f>
        <v>102.70097384199089</v>
      </c>
      <c r="C215" s="119">
        <f t="shared" si="65"/>
        <v>0</v>
      </c>
      <c r="D215" s="119">
        <f t="shared" si="68"/>
        <v>105.78200305725062</v>
      </c>
      <c r="E215" s="119">
        <f t="shared" si="66"/>
        <v>0</v>
      </c>
      <c r="F215" s="119">
        <f t="shared" si="67"/>
        <v>105.78200305725062</v>
      </c>
      <c r="G215" s="119">
        <v>0</v>
      </c>
      <c r="H215" s="119">
        <f t="shared" si="58"/>
        <v>105.78200305725062</v>
      </c>
      <c r="J215" s="119">
        <f>VLOOKUP(A215,'ESAI - Q3 - Base Case'!$A$5:$J$342,10)</f>
        <v>63.197793643858255</v>
      </c>
      <c r="K215" s="119">
        <f t="shared" si="59"/>
        <v>0</v>
      </c>
      <c r="L215" s="119">
        <f t="shared" si="57"/>
        <v>65.093727453173997</v>
      </c>
      <c r="M215" s="119">
        <f t="shared" si="60"/>
        <v>0</v>
      </c>
      <c r="N215" s="119">
        <f t="shared" si="61"/>
        <v>65.093727453173997</v>
      </c>
      <c r="O215" s="119">
        <v>0</v>
      </c>
      <c r="P215" s="119">
        <f t="shared" si="62"/>
        <v>65.093727453173997</v>
      </c>
    </row>
    <row r="216" spans="1:16" x14ac:dyDescent="0.2">
      <c r="A216" s="188">
        <v>49157</v>
      </c>
      <c r="B216" s="119">
        <f>VLOOKUP(A216,'ESAI - Q3 - Base Case'!$A$5:$J$342,9)</f>
        <v>80.295350626586867</v>
      </c>
      <c r="C216" s="119">
        <f t="shared" si="65"/>
        <v>0</v>
      </c>
      <c r="D216" s="119">
        <f t="shared" si="68"/>
        <v>82.704211145384477</v>
      </c>
      <c r="E216" s="119">
        <f t="shared" si="66"/>
        <v>0</v>
      </c>
      <c r="F216" s="119">
        <f t="shared" si="67"/>
        <v>82.704211145384477</v>
      </c>
      <c r="G216" s="119">
        <v>0</v>
      </c>
      <c r="H216" s="119">
        <f t="shared" si="58"/>
        <v>82.704211145384477</v>
      </c>
      <c r="J216" s="119">
        <f>VLOOKUP(A216,'ESAI - Q3 - Base Case'!$A$5:$J$342,10)</f>
        <v>62.223247479355123</v>
      </c>
      <c r="K216" s="119">
        <f t="shared" si="59"/>
        <v>0</v>
      </c>
      <c r="L216" s="119">
        <f t="shared" si="57"/>
        <v>64.089944903735784</v>
      </c>
      <c r="M216" s="119">
        <f t="shared" si="60"/>
        <v>0</v>
      </c>
      <c r="N216" s="119">
        <f t="shared" si="61"/>
        <v>64.089944903735784</v>
      </c>
      <c r="O216" s="119">
        <v>0</v>
      </c>
      <c r="P216" s="119">
        <f t="shared" si="62"/>
        <v>64.089944903735784</v>
      </c>
    </row>
    <row r="217" spans="1:16" x14ac:dyDescent="0.2">
      <c r="A217" s="188">
        <v>49188</v>
      </c>
      <c r="B217" s="119">
        <f>VLOOKUP(A217,'ESAI - Q3 - Base Case'!$A$5:$J$342,9)</f>
        <v>67.558123075325796</v>
      </c>
      <c r="C217" s="119">
        <f t="shared" si="65"/>
        <v>0</v>
      </c>
      <c r="D217" s="119">
        <f t="shared" si="68"/>
        <v>69.584866767585567</v>
      </c>
      <c r="E217" s="119">
        <f t="shared" si="66"/>
        <v>0</v>
      </c>
      <c r="F217" s="119">
        <f t="shared" si="67"/>
        <v>69.584866767585567</v>
      </c>
      <c r="G217" s="119">
        <v>0</v>
      </c>
      <c r="H217" s="119">
        <f t="shared" si="58"/>
        <v>69.584866767585567</v>
      </c>
      <c r="J217" s="119">
        <f>VLOOKUP(A217,'ESAI - Q3 - Base Case'!$A$5:$J$342,10)</f>
        <v>59.162410588509942</v>
      </c>
      <c r="K217" s="119">
        <f t="shared" si="59"/>
        <v>0</v>
      </c>
      <c r="L217" s="119">
        <f t="shared" si="57"/>
        <v>60.937282906165244</v>
      </c>
      <c r="M217" s="119">
        <f t="shared" si="60"/>
        <v>0</v>
      </c>
      <c r="N217" s="119">
        <f t="shared" si="61"/>
        <v>60.937282906165244</v>
      </c>
      <c r="O217" s="119">
        <v>0</v>
      </c>
      <c r="P217" s="119">
        <f t="shared" si="62"/>
        <v>60.937282906165244</v>
      </c>
    </row>
    <row r="218" spans="1:16" x14ac:dyDescent="0.2">
      <c r="A218" s="188">
        <v>49218</v>
      </c>
      <c r="B218" s="119">
        <f>VLOOKUP(A218,'ESAI - Q3 - Base Case'!$A$5:$J$342,9)</f>
        <v>64.629601850907321</v>
      </c>
      <c r="C218" s="119">
        <f t="shared" si="65"/>
        <v>0</v>
      </c>
      <c r="D218" s="119">
        <f t="shared" si="68"/>
        <v>66.568489906434536</v>
      </c>
      <c r="E218" s="119">
        <f t="shared" si="66"/>
        <v>0</v>
      </c>
      <c r="F218" s="119">
        <f t="shared" si="67"/>
        <v>66.568489906434536</v>
      </c>
      <c r="G218" s="119">
        <v>0</v>
      </c>
      <c r="H218" s="119">
        <f t="shared" si="58"/>
        <v>66.568489906434536</v>
      </c>
      <c r="J218" s="119">
        <f>VLOOKUP(A218,'ESAI - Q3 - Base Case'!$A$5:$J$342,10)</f>
        <v>56.545243992898364</v>
      </c>
      <c r="K218" s="119">
        <f t="shared" si="59"/>
        <v>0</v>
      </c>
      <c r="L218" s="119">
        <f t="shared" si="57"/>
        <v>58.241601312685319</v>
      </c>
      <c r="M218" s="119">
        <f t="shared" si="60"/>
        <v>0</v>
      </c>
      <c r="N218" s="119">
        <f t="shared" si="61"/>
        <v>58.241601312685319</v>
      </c>
      <c r="O218" s="119">
        <v>0</v>
      </c>
      <c r="P218" s="119">
        <f t="shared" si="62"/>
        <v>58.241601312685319</v>
      </c>
    </row>
    <row r="219" spans="1:16" x14ac:dyDescent="0.2">
      <c r="A219" s="188">
        <v>49249</v>
      </c>
      <c r="B219" s="119">
        <f>VLOOKUP(A219,'ESAI - Q3 - Base Case'!$A$5:$J$342,9)</f>
        <v>74.256457523311198</v>
      </c>
      <c r="C219" s="119">
        <f t="shared" si="65"/>
        <v>0</v>
      </c>
      <c r="D219" s="119">
        <f t="shared" si="68"/>
        <v>76.484151249010537</v>
      </c>
      <c r="E219" s="119">
        <f t="shared" si="66"/>
        <v>0</v>
      </c>
      <c r="F219" s="119">
        <f t="shared" si="67"/>
        <v>76.484151249010537</v>
      </c>
      <c r="G219" s="119">
        <v>0</v>
      </c>
      <c r="H219" s="119">
        <f t="shared" si="58"/>
        <v>76.484151249010537</v>
      </c>
      <c r="J219" s="119">
        <f>VLOOKUP(A219,'ESAI - Q3 - Base Case'!$A$5:$J$342,10)</f>
        <v>62.291004565471404</v>
      </c>
      <c r="K219" s="119">
        <f t="shared" si="59"/>
        <v>0</v>
      </c>
      <c r="L219" s="119">
        <f t="shared" si="57"/>
        <v>64.159734702435543</v>
      </c>
      <c r="M219" s="119">
        <f t="shared" si="60"/>
        <v>0</v>
      </c>
      <c r="N219" s="119">
        <f t="shared" si="61"/>
        <v>64.159734702435543</v>
      </c>
      <c r="O219" s="119">
        <v>0</v>
      </c>
      <c r="P219" s="119">
        <f t="shared" si="62"/>
        <v>64.159734702435543</v>
      </c>
    </row>
    <row r="220" spans="1:16" x14ac:dyDescent="0.2">
      <c r="A220" s="188">
        <v>49279</v>
      </c>
      <c r="B220" s="119">
        <f>VLOOKUP(A220,'ESAI - Q3 - Base Case'!$A$5:$J$342,9)</f>
        <v>107.22483544341647</v>
      </c>
      <c r="C220" s="119">
        <f t="shared" si="65"/>
        <v>0</v>
      </c>
      <c r="D220" s="119">
        <f t="shared" si="68"/>
        <v>110.44158050671896</v>
      </c>
      <c r="E220" s="119">
        <f t="shared" si="66"/>
        <v>0</v>
      </c>
      <c r="F220" s="119">
        <f t="shared" si="67"/>
        <v>110.44158050671896</v>
      </c>
      <c r="G220" s="119">
        <v>0</v>
      </c>
      <c r="H220" s="119">
        <f t="shared" si="58"/>
        <v>110.44158050671896</v>
      </c>
      <c r="J220" s="119">
        <f>VLOOKUP(A220,'ESAI - Q3 - Base Case'!$A$5:$J$342,10)</f>
        <v>81.131659703724452</v>
      </c>
      <c r="K220" s="119">
        <f t="shared" si="59"/>
        <v>0</v>
      </c>
      <c r="L220" s="119">
        <f t="shared" si="57"/>
        <v>83.565609494836181</v>
      </c>
      <c r="M220" s="119">
        <f t="shared" si="60"/>
        <v>0</v>
      </c>
      <c r="N220" s="119">
        <f t="shared" si="61"/>
        <v>83.565609494836181</v>
      </c>
      <c r="O220" s="119">
        <v>0</v>
      </c>
      <c r="P220" s="119">
        <f t="shared" si="62"/>
        <v>83.565609494836181</v>
      </c>
    </row>
    <row r="221" spans="1:16" x14ac:dyDescent="0.2">
      <c r="A221" s="188">
        <v>49310</v>
      </c>
      <c r="B221" s="119">
        <f>VLOOKUP(A221,'ESAI - Q3 - Base Case'!$A$5:$J$342,9)</f>
        <v>150.24648023441443</v>
      </c>
      <c r="C221" s="119">
        <f>C209*(1+'Firm Purchase Revenue Reqmnt'!$I$71)</f>
        <v>0</v>
      </c>
      <c r="D221" s="119">
        <f t="shared" si="68"/>
        <v>154.75387464144688</v>
      </c>
      <c r="E221" s="120">
        <f>E209*(1+$E$2)</f>
        <v>0</v>
      </c>
      <c r="F221" s="119">
        <f t="shared" si="67"/>
        <v>154.75387464144688</v>
      </c>
      <c r="G221" s="120">
        <v>0</v>
      </c>
      <c r="H221" s="119">
        <f t="shared" si="58"/>
        <v>154.75387464144688</v>
      </c>
      <c r="J221" s="119">
        <f>VLOOKUP(A221,'ESAI - Q3 - Base Case'!$A$5:$J$342,10)</f>
        <v>101.51872845437246</v>
      </c>
      <c r="K221" s="119">
        <f t="shared" si="59"/>
        <v>0</v>
      </c>
      <c r="L221" s="119">
        <f t="shared" si="57"/>
        <v>104.56429030800363</v>
      </c>
      <c r="M221" s="120">
        <f t="shared" si="60"/>
        <v>0</v>
      </c>
      <c r="N221" s="119">
        <f t="shared" si="61"/>
        <v>104.56429030800363</v>
      </c>
      <c r="O221" s="120">
        <v>0</v>
      </c>
      <c r="P221" s="119">
        <f t="shared" si="62"/>
        <v>104.56429030800363</v>
      </c>
    </row>
    <row r="222" spans="1:16" x14ac:dyDescent="0.2">
      <c r="A222" s="188">
        <v>49341</v>
      </c>
      <c r="B222" s="119">
        <f>VLOOKUP(A222,'ESAI - Q3 - Base Case'!$A$5:$J$342,9)</f>
        <v>108.98591361505149</v>
      </c>
      <c r="C222" s="119">
        <f>C221</f>
        <v>0</v>
      </c>
      <c r="D222" s="119">
        <f t="shared" si="68"/>
        <v>112.25549102350304</v>
      </c>
      <c r="E222" s="119">
        <f>E221</f>
        <v>0</v>
      </c>
      <c r="F222" s="119">
        <f t="shared" si="67"/>
        <v>112.25549102350304</v>
      </c>
      <c r="G222" s="119">
        <v>0</v>
      </c>
      <c r="H222" s="119">
        <f t="shared" si="58"/>
        <v>112.25549102350304</v>
      </c>
      <c r="J222" s="119">
        <f>VLOOKUP(A222,'ESAI - Q3 - Base Case'!$A$5:$J$342,10)</f>
        <v>91.384818501245064</v>
      </c>
      <c r="K222" s="119">
        <f t="shared" si="59"/>
        <v>0</v>
      </c>
      <c r="L222" s="119">
        <f t="shared" si="57"/>
        <v>94.126363056282415</v>
      </c>
      <c r="M222" s="119">
        <f t="shared" si="60"/>
        <v>0</v>
      </c>
      <c r="N222" s="119">
        <f t="shared" si="61"/>
        <v>94.126363056282415</v>
      </c>
      <c r="O222" s="119">
        <v>0</v>
      </c>
      <c r="P222" s="119">
        <f t="shared" si="62"/>
        <v>94.126363056282415</v>
      </c>
    </row>
    <row r="223" spans="1:16" x14ac:dyDescent="0.2">
      <c r="A223" s="188">
        <v>49369</v>
      </c>
      <c r="B223" s="119">
        <f>VLOOKUP(A223,'ESAI - Q3 - Base Case'!$A$5:$J$342,9)</f>
        <v>76.713579410981055</v>
      </c>
      <c r="C223" s="119">
        <f t="shared" ref="C223:C232" si="69">C222</f>
        <v>0</v>
      </c>
      <c r="D223" s="119">
        <f t="shared" si="68"/>
        <v>79.014986793310484</v>
      </c>
      <c r="E223" s="119">
        <f t="shared" ref="E223:E232" si="70">E222</f>
        <v>0</v>
      </c>
      <c r="F223" s="119">
        <f t="shared" si="67"/>
        <v>79.014986793310484</v>
      </c>
      <c r="G223" s="119">
        <v>0</v>
      </c>
      <c r="H223" s="119">
        <f t="shared" si="58"/>
        <v>79.014986793310484</v>
      </c>
      <c r="J223" s="119">
        <f>VLOOKUP(A223,'ESAI - Q3 - Base Case'!$A$5:$J$342,10)</f>
        <v>64.299474326584772</v>
      </c>
      <c r="K223" s="119">
        <f t="shared" si="59"/>
        <v>0</v>
      </c>
      <c r="L223" s="119">
        <f t="shared" si="57"/>
        <v>66.228458556382321</v>
      </c>
      <c r="M223" s="119">
        <f t="shared" si="60"/>
        <v>0</v>
      </c>
      <c r="N223" s="119">
        <f t="shared" si="61"/>
        <v>66.228458556382321</v>
      </c>
      <c r="O223" s="119">
        <v>0</v>
      </c>
      <c r="P223" s="119">
        <f t="shared" si="62"/>
        <v>66.228458556382321</v>
      </c>
    </row>
    <row r="224" spans="1:16" x14ac:dyDescent="0.2">
      <c r="A224" s="188">
        <v>49400</v>
      </c>
      <c r="B224" s="119">
        <f>VLOOKUP(A224,'ESAI - Q3 - Base Case'!$A$5:$J$342,9)</f>
        <v>71.719977104790573</v>
      </c>
      <c r="C224" s="119">
        <f t="shared" si="69"/>
        <v>0</v>
      </c>
      <c r="D224" s="119">
        <f t="shared" si="68"/>
        <v>73.871576417934293</v>
      </c>
      <c r="E224" s="119">
        <f t="shared" si="70"/>
        <v>0</v>
      </c>
      <c r="F224" s="119">
        <f t="shared" si="67"/>
        <v>73.871576417934293</v>
      </c>
      <c r="G224" s="119">
        <v>0</v>
      </c>
      <c r="H224" s="119">
        <f t="shared" si="58"/>
        <v>73.871576417934293</v>
      </c>
      <c r="J224" s="119">
        <f>VLOOKUP(A224,'ESAI - Q3 - Base Case'!$A$5:$J$342,10)</f>
        <v>57.674372750852726</v>
      </c>
      <c r="K224" s="119">
        <f t="shared" si="59"/>
        <v>0</v>
      </c>
      <c r="L224" s="119">
        <f t="shared" si="57"/>
        <v>59.404603933378311</v>
      </c>
      <c r="M224" s="119">
        <f t="shared" si="60"/>
        <v>0</v>
      </c>
      <c r="N224" s="119">
        <f t="shared" si="61"/>
        <v>59.404603933378311</v>
      </c>
      <c r="O224" s="119">
        <v>0</v>
      </c>
      <c r="P224" s="119">
        <f t="shared" si="62"/>
        <v>59.404603933378311</v>
      </c>
    </row>
    <row r="225" spans="1:16" x14ac:dyDescent="0.2">
      <c r="A225" s="188">
        <v>49430</v>
      </c>
      <c r="B225" s="119">
        <f>VLOOKUP(A225,'ESAI - Q3 - Base Case'!$A$5:$J$342,9)</f>
        <v>81.04750442875833</v>
      </c>
      <c r="C225" s="119">
        <f t="shared" si="69"/>
        <v>0</v>
      </c>
      <c r="D225" s="119">
        <f t="shared" si="68"/>
        <v>83.478929561621086</v>
      </c>
      <c r="E225" s="119">
        <f t="shared" si="70"/>
        <v>0</v>
      </c>
      <c r="F225" s="119">
        <f t="shared" si="67"/>
        <v>83.478929561621086</v>
      </c>
      <c r="G225" s="119">
        <v>0</v>
      </c>
      <c r="H225" s="119">
        <f t="shared" si="58"/>
        <v>83.478929561621086</v>
      </c>
      <c r="J225" s="119">
        <f>VLOOKUP(A225,'ESAI - Q3 - Base Case'!$A$5:$J$342,10)</f>
        <v>59.763009318677341</v>
      </c>
      <c r="K225" s="119">
        <f t="shared" si="59"/>
        <v>0</v>
      </c>
      <c r="L225" s="119">
        <f t="shared" si="57"/>
        <v>61.555899598237666</v>
      </c>
      <c r="M225" s="119">
        <f t="shared" si="60"/>
        <v>0</v>
      </c>
      <c r="N225" s="119">
        <f t="shared" si="61"/>
        <v>61.555899598237666</v>
      </c>
      <c r="O225" s="119">
        <v>0</v>
      </c>
      <c r="P225" s="119">
        <f t="shared" si="62"/>
        <v>61.555899598237666</v>
      </c>
    </row>
    <row r="226" spans="1:16" x14ac:dyDescent="0.2">
      <c r="A226" s="188">
        <v>49461</v>
      </c>
      <c r="B226" s="119">
        <f>VLOOKUP(A226,'ESAI - Q3 - Base Case'!$A$5:$J$342,9)</f>
        <v>85.792321601386561</v>
      </c>
      <c r="C226" s="119">
        <f t="shared" si="69"/>
        <v>0</v>
      </c>
      <c r="D226" s="119">
        <f t="shared" si="68"/>
        <v>88.366091249428166</v>
      </c>
      <c r="E226" s="119">
        <f t="shared" si="70"/>
        <v>0</v>
      </c>
      <c r="F226" s="119">
        <f t="shared" si="67"/>
        <v>88.366091249428166</v>
      </c>
      <c r="G226" s="119">
        <v>0</v>
      </c>
      <c r="H226" s="119">
        <f t="shared" si="58"/>
        <v>88.366091249428166</v>
      </c>
      <c r="J226" s="119">
        <f>VLOOKUP(A226,'ESAI - Q3 - Base Case'!$A$5:$J$342,10)</f>
        <v>61.221303715647579</v>
      </c>
      <c r="K226" s="119">
        <f t="shared" si="59"/>
        <v>0</v>
      </c>
      <c r="L226" s="119">
        <f t="shared" si="57"/>
        <v>63.05794282711701</v>
      </c>
      <c r="M226" s="119">
        <f t="shared" si="60"/>
        <v>0</v>
      </c>
      <c r="N226" s="119">
        <f t="shared" si="61"/>
        <v>63.05794282711701</v>
      </c>
      <c r="O226" s="119">
        <v>0</v>
      </c>
      <c r="P226" s="119">
        <f t="shared" si="62"/>
        <v>63.05794282711701</v>
      </c>
    </row>
    <row r="227" spans="1:16" x14ac:dyDescent="0.2">
      <c r="A227" s="188">
        <v>49491</v>
      </c>
      <c r="B227" s="119">
        <f>VLOOKUP(A227,'ESAI - Q3 - Base Case'!$A$5:$J$342,9)</f>
        <v>104.75499331883071</v>
      </c>
      <c r="C227" s="119">
        <f t="shared" si="69"/>
        <v>0</v>
      </c>
      <c r="D227" s="119">
        <f t="shared" si="68"/>
        <v>107.89764311839564</v>
      </c>
      <c r="E227" s="119">
        <f t="shared" si="70"/>
        <v>0</v>
      </c>
      <c r="F227" s="119">
        <f t="shared" si="67"/>
        <v>107.89764311839564</v>
      </c>
      <c r="G227" s="119">
        <v>0</v>
      </c>
      <c r="H227" s="119">
        <f t="shared" si="58"/>
        <v>107.89764311839564</v>
      </c>
      <c r="J227" s="119">
        <f>VLOOKUP(A227,'ESAI - Q3 - Base Case'!$A$5:$J$342,10)</f>
        <v>64.461749516735424</v>
      </c>
      <c r="K227" s="119">
        <f t="shared" si="59"/>
        <v>0</v>
      </c>
      <c r="L227" s="119">
        <f t="shared" si="57"/>
        <v>66.395602002237482</v>
      </c>
      <c r="M227" s="119">
        <f t="shared" si="60"/>
        <v>0</v>
      </c>
      <c r="N227" s="119">
        <f t="shared" si="61"/>
        <v>66.395602002237482</v>
      </c>
      <c r="O227" s="119">
        <v>0</v>
      </c>
      <c r="P227" s="119">
        <f t="shared" si="62"/>
        <v>66.395602002237482</v>
      </c>
    </row>
    <row r="228" spans="1:16" x14ac:dyDescent="0.2">
      <c r="A228" s="188">
        <v>49522</v>
      </c>
      <c r="B228" s="119">
        <f>VLOOKUP(A228,'ESAI - Q3 - Base Case'!$A$5:$J$342,9)</f>
        <v>81.901257639118612</v>
      </c>
      <c r="C228" s="119">
        <f t="shared" si="69"/>
        <v>0</v>
      </c>
      <c r="D228" s="119">
        <f t="shared" si="68"/>
        <v>84.358295368292175</v>
      </c>
      <c r="E228" s="119">
        <f t="shared" si="70"/>
        <v>0</v>
      </c>
      <c r="F228" s="119">
        <f t="shared" si="67"/>
        <v>84.358295368292175</v>
      </c>
      <c r="G228" s="119">
        <v>0</v>
      </c>
      <c r="H228" s="119">
        <f t="shared" si="58"/>
        <v>84.358295368292175</v>
      </c>
      <c r="J228" s="119">
        <f>VLOOKUP(A228,'ESAI - Q3 - Base Case'!$A$5:$J$342,10)</f>
        <v>63.467712428942228</v>
      </c>
      <c r="K228" s="119">
        <f t="shared" si="59"/>
        <v>0</v>
      </c>
      <c r="L228" s="119">
        <f t="shared" si="57"/>
        <v>65.371743801810496</v>
      </c>
      <c r="M228" s="119">
        <f t="shared" si="60"/>
        <v>0</v>
      </c>
      <c r="N228" s="119">
        <f t="shared" si="61"/>
        <v>65.371743801810496</v>
      </c>
      <c r="O228" s="119">
        <v>0</v>
      </c>
      <c r="P228" s="119">
        <f t="shared" si="62"/>
        <v>65.371743801810496</v>
      </c>
    </row>
    <row r="229" spans="1:16" x14ac:dyDescent="0.2">
      <c r="A229" s="188">
        <v>49553</v>
      </c>
      <c r="B229" s="119">
        <f>VLOOKUP(A229,'ESAI - Q3 - Base Case'!$A$5:$J$342,9)</f>
        <v>68.909285536832314</v>
      </c>
      <c r="C229" s="119">
        <f t="shared" si="69"/>
        <v>0</v>
      </c>
      <c r="D229" s="119">
        <f t="shared" si="68"/>
        <v>70.976564102937289</v>
      </c>
      <c r="E229" s="119">
        <f t="shared" si="70"/>
        <v>0</v>
      </c>
      <c r="F229" s="119">
        <f t="shared" si="67"/>
        <v>70.976564102937289</v>
      </c>
      <c r="G229" s="119">
        <v>0</v>
      </c>
      <c r="H229" s="119">
        <f t="shared" si="58"/>
        <v>70.976564102937289</v>
      </c>
      <c r="J229" s="119">
        <f>VLOOKUP(A229,'ESAI - Q3 - Base Case'!$A$5:$J$342,10)</f>
        <v>60.345658800280141</v>
      </c>
      <c r="K229" s="119">
        <f t="shared" si="59"/>
        <v>0</v>
      </c>
      <c r="L229" s="119">
        <f t="shared" si="57"/>
        <v>62.156028564288547</v>
      </c>
      <c r="M229" s="119">
        <f t="shared" si="60"/>
        <v>0</v>
      </c>
      <c r="N229" s="119">
        <f t="shared" si="61"/>
        <v>62.156028564288547</v>
      </c>
      <c r="O229" s="119">
        <v>0</v>
      </c>
      <c r="P229" s="119">
        <f t="shared" si="62"/>
        <v>62.156028564288547</v>
      </c>
    </row>
    <row r="230" spans="1:16" x14ac:dyDescent="0.2">
      <c r="A230" s="188">
        <v>49583</v>
      </c>
      <c r="B230" s="119">
        <f>VLOOKUP(A230,'ESAI - Q3 - Base Case'!$A$5:$J$342,9)</f>
        <v>65.922193887925474</v>
      </c>
      <c r="C230" s="119">
        <f t="shared" si="69"/>
        <v>0</v>
      </c>
      <c r="D230" s="119">
        <f t="shared" si="68"/>
        <v>67.899859704563241</v>
      </c>
      <c r="E230" s="119">
        <f t="shared" si="70"/>
        <v>0</v>
      </c>
      <c r="F230" s="119">
        <f t="shared" si="67"/>
        <v>67.899859704563241</v>
      </c>
      <c r="G230" s="119">
        <v>0</v>
      </c>
      <c r="H230" s="119">
        <f t="shared" si="58"/>
        <v>67.899859704563241</v>
      </c>
      <c r="J230" s="119">
        <f>VLOOKUP(A230,'ESAI - Q3 - Base Case'!$A$5:$J$342,10)</f>
        <v>57.676148872756329</v>
      </c>
      <c r="K230" s="119">
        <f t="shared" si="59"/>
        <v>0</v>
      </c>
      <c r="L230" s="119">
        <f t="shared" si="57"/>
        <v>59.406433338939017</v>
      </c>
      <c r="M230" s="119">
        <f t="shared" si="60"/>
        <v>0</v>
      </c>
      <c r="N230" s="119">
        <f t="shared" si="61"/>
        <v>59.406433338939017</v>
      </c>
      <c r="O230" s="119">
        <v>0</v>
      </c>
      <c r="P230" s="119">
        <f t="shared" si="62"/>
        <v>59.406433338939017</v>
      </c>
    </row>
    <row r="231" spans="1:16" x14ac:dyDescent="0.2">
      <c r="A231" s="188">
        <v>49614</v>
      </c>
      <c r="B231" s="119">
        <f>VLOOKUP(A231,'ESAI - Q3 - Base Case'!$A$5:$J$342,9)</f>
        <v>75.741586673777419</v>
      </c>
      <c r="C231" s="119">
        <f t="shared" si="69"/>
        <v>0</v>
      </c>
      <c r="D231" s="119">
        <f t="shared" si="68"/>
        <v>78.013834273990739</v>
      </c>
      <c r="E231" s="119">
        <f t="shared" si="70"/>
        <v>0</v>
      </c>
      <c r="F231" s="119">
        <f t="shared" si="67"/>
        <v>78.013834273990739</v>
      </c>
      <c r="G231" s="119">
        <v>0</v>
      </c>
      <c r="H231" s="119">
        <f t="shared" si="58"/>
        <v>78.013834273990739</v>
      </c>
      <c r="J231" s="119">
        <f>VLOOKUP(A231,'ESAI - Q3 - Base Case'!$A$5:$J$342,10)</f>
        <v>63.53682465678083</v>
      </c>
      <c r="K231" s="119">
        <f t="shared" si="59"/>
        <v>0</v>
      </c>
      <c r="L231" s="119">
        <f t="shared" si="57"/>
        <v>65.44292939648426</v>
      </c>
      <c r="M231" s="119">
        <f t="shared" si="60"/>
        <v>0</v>
      </c>
      <c r="N231" s="119">
        <f t="shared" si="61"/>
        <v>65.44292939648426</v>
      </c>
      <c r="O231" s="119">
        <v>0</v>
      </c>
      <c r="P231" s="119">
        <f t="shared" si="62"/>
        <v>65.44292939648426</v>
      </c>
    </row>
    <row r="232" spans="1:16" x14ac:dyDescent="0.2">
      <c r="A232" s="188">
        <v>49644</v>
      </c>
      <c r="B232" s="119">
        <f>VLOOKUP(A232,'ESAI - Q3 - Base Case'!$A$5:$J$342,9)</f>
        <v>109.3693321522848</v>
      </c>
      <c r="C232" s="119">
        <f t="shared" si="69"/>
        <v>0</v>
      </c>
      <c r="D232" s="119">
        <f t="shared" si="68"/>
        <v>112.65041211685335</v>
      </c>
      <c r="E232" s="119">
        <f t="shared" si="70"/>
        <v>0</v>
      </c>
      <c r="F232" s="119">
        <f t="shared" si="67"/>
        <v>112.65041211685335</v>
      </c>
      <c r="G232" s="119">
        <v>0</v>
      </c>
      <c r="H232" s="119">
        <f t="shared" si="58"/>
        <v>112.65041211685335</v>
      </c>
      <c r="J232" s="119">
        <f>VLOOKUP(A232,'ESAI - Q3 - Base Case'!$A$5:$J$342,10)</f>
        <v>82.754292897798948</v>
      </c>
      <c r="K232" s="119">
        <f t="shared" si="59"/>
        <v>0</v>
      </c>
      <c r="L232" s="119">
        <f t="shared" si="57"/>
        <v>85.23692168473292</v>
      </c>
      <c r="M232" s="119">
        <f t="shared" si="60"/>
        <v>0</v>
      </c>
      <c r="N232" s="119">
        <f t="shared" si="61"/>
        <v>85.23692168473292</v>
      </c>
      <c r="O232" s="119">
        <v>0</v>
      </c>
      <c r="P232" s="119">
        <f t="shared" si="62"/>
        <v>85.23692168473292</v>
      </c>
    </row>
    <row r="233" spans="1:16" x14ac:dyDescent="0.2">
      <c r="A233" s="188">
        <v>49675</v>
      </c>
      <c r="B233" s="119">
        <f>VLOOKUP(A233,'ESAI - Q3 - Base Case'!$A$5:$J$342,9)</f>
        <v>153.25140983910273</v>
      </c>
      <c r="C233" s="119">
        <f>C221*(1+'Firm Purchase Revenue Reqmnt'!$I$71)</f>
        <v>0</v>
      </c>
      <c r="D233" s="119">
        <f t="shared" si="68"/>
        <v>157.84895213427583</v>
      </c>
      <c r="E233" s="120">
        <f>E221*(1+$E$2)</f>
        <v>0</v>
      </c>
      <c r="F233" s="119">
        <f t="shared" si="67"/>
        <v>157.84895213427583</v>
      </c>
      <c r="G233" s="120">
        <v>0</v>
      </c>
      <c r="H233" s="119">
        <f t="shared" si="58"/>
        <v>157.84895213427583</v>
      </c>
      <c r="J233" s="119">
        <f>VLOOKUP(A233,'ESAI - Q3 - Base Case'!$A$5:$J$342,10)</f>
        <v>103.54910302345992</v>
      </c>
      <c r="K233" s="119">
        <f t="shared" si="59"/>
        <v>0</v>
      </c>
      <c r="L233" s="119">
        <f t="shared" si="57"/>
        <v>106.65557611416372</v>
      </c>
      <c r="M233" s="120">
        <f t="shared" si="60"/>
        <v>0</v>
      </c>
      <c r="N233" s="119">
        <f t="shared" si="61"/>
        <v>106.65557611416372</v>
      </c>
      <c r="O233" s="120">
        <v>0</v>
      </c>
      <c r="P233" s="119">
        <f t="shared" si="62"/>
        <v>106.65557611416372</v>
      </c>
    </row>
    <row r="234" spans="1:16" x14ac:dyDescent="0.2">
      <c r="A234" s="188">
        <v>49706</v>
      </c>
      <c r="B234" s="119">
        <f>VLOOKUP(A234,'ESAI - Q3 - Base Case'!$A$5:$J$342,9)</f>
        <v>111.16563188735252</v>
      </c>
      <c r="C234" s="119">
        <f>C233</f>
        <v>0</v>
      </c>
      <c r="D234" s="119">
        <f t="shared" si="68"/>
        <v>114.5006008439731</v>
      </c>
      <c r="E234" s="119">
        <f>E233</f>
        <v>0</v>
      </c>
      <c r="F234" s="119">
        <f t="shared" si="67"/>
        <v>114.5006008439731</v>
      </c>
      <c r="G234" s="119">
        <v>0</v>
      </c>
      <c r="H234" s="119">
        <f t="shared" si="58"/>
        <v>114.5006008439731</v>
      </c>
      <c r="J234" s="119">
        <f>VLOOKUP(A234,'ESAI - Q3 - Base Case'!$A$5:$J$342,10)</f>
        <v>93.212514871269974</v>
      </c>
      <c r="K234" s="119">
        <f t="shared" si="59"/>
        <v>0</v>
      </c>
      <c r="L234" s="119">
        <f t="shared" si="57"/>
        <v>96.008890317408074</v>
      </c>
      <c r="M234" s="119">
        <f t="shared" si="60"/>
        <v>0</v>
      </c>
      <c r="N234" s="119">
        <f t="shared" si="61"/>
        <v>96.008890317408074</v>
      </c>
      <c r="O234" s="119">
        <v>0</v>
      </c>
      <c r="P234" s="119">
        <f t="shared" si="62"/>
        <v>96.008890317408074</v>
      </c>
    </row>
    <row r="235" spans="1:16" x14ac:dyDescent="0.2">
      <c r="A235" s="188">
        <v>49735</v>
      </c>
      <c r="B235" s="119">
        <f>VLOOKUP(A235,'ESAI - Q3 - Base Case'!$A$5:$J$342,9)</f>
        <v>78.247850999200679</v>
      </c>
      <c r="C235" s="119">
        <f t="shared" ref="C235:C244" si="71">C234</f>
        <v>0</v>
      </c>
      <c r="D235" s="119">
        <f t="shared" si="68"/>
        <v>80.595286529176704</v>
      </c>
      <c r="E235" s="119">
        <f t="shared" ref="E235:E244" si="72">E234</f>
        <v>0</v>
      </c>
      <c r="F235" s="119">
        <f t="shared" si="67"/>
        <v>80.595286529176704</v>
      </c>
      <c r="G235" s="119">
        <v>0</v>
      </c>
      <c r="H235" s="119">
        <f t="shared" si="58"/>
        <v>80.595286529176704</v>
      </c>
      <c r="J235" s="119">
        <f>VLOOKUP(A235,'ESAI - Q3 - Base Case'!$A$5:$J$342,10)</f>
        <v>65.585463813116462</v>
      </c>
      <c r="K235" s="119">
        <f t="shared" si="59"/>
        <v>0</v>
      </c>
      <c r="L235" s="119">
        <f t="shared" si="57"/>
        <v>67.553027727509956</v>
      </c>
      <c r="M235" s="119">
        <f t="shared" si="60"/>
        <v>0</v>
      </c>
      <c r="N235" s="119">
        <f t="shared" si="61"/>
        <v>67.553027727509956</v>
      </c>
      <c r="O235" s="119">
        <v>0</v>
      </c>
      <c r="P235" s="119">
        <f t="shared" si="62"/>
        <v>67.553027727509956</v>
      </c>
    </row>
    <row r="236" spans="1:16" x14ac:dyDescent="0.2">
      <c r="A236" s="188">
        <v>49766</v>
      </c>
      <c r="B236" s="119">
        <f>VLOOKUP(A236,'ESAI - Q3 - Base Case'!$A$5:$J$342,9)</f>
        <v>73.154376646886391</v>
      </c>
      <c r="C236" s="119">
        <f t="shared" si="71"/>
        <v>0</v>
      </c>
      <c r="D236" s="119">
        <f t="shared" si="68"/>
        <v>75.349007946292986</v>
      </c>
      <c r="E236" s="119">
        <f t="shared" si="72"/>
        <v>0</v>
      </c>
      <c r="F236" s="119">
        <f t="shared" si="67"/>
        <v>75.349007946292986</v>
      </c>
      <c r="G236" s="119">
        <v>0</v>
      </c>
      <c r="H236" s="119">
        <f t="shared" si="58"/>
        <v>75.349007946292986</v>
      </c>
      <c r="J236" s="119">
        <f>VLOOKUP(A236,'ESAI - Q3 - Base Case'!$A$5:$J$342,10)</f>
        <v>58.827860205869783</v>
      </c>
      <c r="K236" s="119">
        <f t="shared" si="59"/>
        <v>0</v>
      </c>
      <c r="L236" s="119">
        <f t="shared" si="57"/>
        <v>60.592696012045877</v>
      </c>
      <c r="M236" s="119">
        <f t="shared" si="60"/>
        <v>0</v>
      </c>
      <c r="N236" s="119">
        <f t="shared" si="61"/>
        <v>60.592696012045877</v>
      </c>
      <c r="O236" s="119">
        <v>0</v>
      </c>
      <c r="P236" s="119">
        <f t="shared" si="62"/>
        <v>60.592696012045877</v>
      </c>
    </row>
    <row r="237" spans="1:16" x14ac:dyDescent="0.2">
      <c r="A237" s="188">
        <v>49796</v>
      </c>
      <c r="B237" s="119">
        <f>VLOOKUP(A237,'ESAI - Q3 - Base Case'!$A$5:$J$342,9)</f>
        <v>82.668454517333501</v>
      </c>
      <c r="C237" s="119">
        <f t="shared" si="71"/>
        <v>0</v>
      </c>
      <c r="D237" s="119">
        <f t="shared" si="68"/>
        <v>85.148508152853509</v>
      </c>
      <c r="E237" s="119">
        <f t="shared" si="72"/>
        <v>0</v>
      </c>
      <c r="F237" s="119">
        <f t="shared" si="67"/>
        <v>85.148508152853509</v>
      </c>
      <c r="G237" s="119">
        <v>0</v>
      </c>
      <c r="H237" s="119">
        <f t="shared" si="58"/>
        <v>85.148508152853509</v>
      </c>
      <c r="J237" s="119">
        <f>VLOOKUP(A237,'ESAI - Q3 - Base Case'!$A$5:$J$342,10)</f>
        <v>60.958269505050886</v>
      </c>
      <c r="K237" s="119">
        <f t="shared" si="59"/>
        <v>0</v>
      </c>
      <c r="L237" s="119">
        <f t="shared" si="57"/>
        <v>62.787017590202417</v>
      </c>
      <c r="M237" s="119">
        <f t="shared" si="60"/>
        <v>0</v>
      </c>
      <c r="N237" s="119">
        <f t="shared" si="61"/>
        <v>62.787017590202417</v>
      </c>
      <c r="O237" s="119">
        <v>0</v>
      </c>
      <c r="P237" s="119">
        <f t="shared" si="62"/>
        <v>62.787017590202417</v>
      </c>
    </row>
    <row r="238" spans="1:16" x14ac:dyDescent="0.2">
      <c r="A238" s="188">
        <v>49827</v>
      </c>
      <c r="B238" s="119">
        <f>VLOOKUP(A238,'ESAI - Q3 - Base Case'!$A$5:$J$342,9)</f>
        <v>87.508168033414293</v>
      </c>
      <c r="C238" s="119">
        <f t="shared" si="71"/>
        <v>0</v>
      </c>
      <c r="D238" s="119">
        <f t="shared" si="68"/>
        <v>90.133413074416723</v>
      </c>
      <c r="E238" s="119">
        <f t="shared" si="72"/>
        <v>0</v>
      </c>
      <c r="F238" s="119">
        <f t="shared" si="67"/>
        <v>90.133413074416723</v>
      </c>
      <c r="G238" s="119">
        <v>0</v>
      </c>
      <c r="H238" s="119">
        <f t="shared" si="58"/>
        <v>90.133413074416723</v>
      </c>
      <c r="J238" s="119">
        <f>VLOOKUP(A238,'ESAI - Q3 - Base Case'!$A$5:$J$342,10)</f>
        <v>62.445729789960531</v>
      </c>
      <c r="K238" s="119">
        <f t="shared" si="59"/>
        <v>0</v>
      </c>
      <c r="L238" s="119">
        <f t="shared" si="57"/>
        <v>64.319101683659355</v>
      </c>
      <c r="M238" s="119">
        <f t="shared" si="60"/>
        <v>0</v>
      </c>
      <c r="N238" s="119">
        <f t="shared" si="61"/>
        <v>64.319101683659355</v>
      </c>
      <c r="O238" s="119">
        <v>0</v>
      </c>
      <c r="P238" s="119">
        <f t="shared" si="62"/>
        <v>64.319101683659355</v>
      </c>
    </row>
    <row r="239" spans="1:16" x14ac:dyDescent="0.2">
      <c r="A239" s="188">
        <v>49857</v>
      </c>
      <c r="B239" s="119">
        <f>VLOOKUP(A239,'ESAI - Q3 - Base Case'!$A$5:$J$342,9)</f>
        <v>106.85009318520733</v>
      </c>
      <c r="C239" s="119">
        <f t="shared" si="71"/>
        <v>0</v>
      </c>
      <c r="D239" s="119">
        <f t="shared" si="68"/>
        <v>110.05559598076356</v>
      </c>
      <c r="E239" s="119">
        <f t="shared" si="72"/>
        <v>0</v>
      </c>
      <c r="F239" s="119">
        <f t="shared" si="67"/>
        <v>110.05559598076356</v>
      </c>
      <c r="G239" s="119">
        <v>0</v>
      </c>
      <c r="H239" s="119">
        <f t="shared" si="58"/>
        <v>110.05559598076356</v>
      </c>
      <c r="J239" s="119">
        <f>VLOOKUP(A239,'ESAI - Q3 - Base Case'!$A$5:$J$342,10)</f>
        <v>65.750984507070129</v>
      </c>
      <c r="K239" s="119">
        <f t="shared" si="59"/>
        <v>0</v>
      </c>
      <c r="L239" s="119">
        <f t="shared" si="57"/>
        <v>67.723514042282233</v>
      </c>
      <c r="M239" s="119">
        <f t="shared" si="60"/>
        <v>0</v>
      </c>
      <c r="N239" s="119">
        <f t="shared" si="61"/>
        <v>67.723514042282233</v>
      </c>
      <c r="O239" s="119">
        <v>0</v>
      </c>
      <c r="P239" s="119">
        <f t="shared" si="62"/>
        <v>67.723514042282233</v>
      </c>
    </row>
    <row r="240" spans="1:16" x14ac:dyDescent="0.2">
      <c r="A240" s="188">
        <v>49888</v>
      </c>
      <c r="B240" s="119">
        <f>VLOOKUP(A240,'ESAI - Q3 - Base Case'!$A$5:$J$342,9)</f>
        <v>83.539282791900987</v>
      </c>
      <c r="C240" s="119">
        <f t="shared" si="71"/>
        <v>0</v>
      </c>
      <c r="D240" s="119">
        <f t="shared" si="68"/>
        <v>86.045461275658013</v>
      </c>
      <c r="E240" s="119">
        <f t="shared" si="72"/>
        <v>0</v>
      </c>
      <c r="F240" s="119">
        <f t="shared" si="67"/>
        <v>86.045461275658013</v>
      </c>
      <c r="G240" s="119">
        <v>0</v>
      </c>
      <c r="H240" s="119">
        <f t="shared" si="58"/>
        <v>86.045461275658013</v>
      </c>
      <c r="J240" s="119">
        <f>VLOOKUP(A240,'ESAI - Q3 - Base Case'!$A$5:$J$342,10)</f>
        <v>64.737066677521071</v>
      </c>
      <c r="K240" s="119">
        <f t="shared" si="59"/>
        <v>0</v>
      </c>
      <c r="L240" s="119">
        <f t="shared" si="57"/>
        <v>66.679178677846707</v>
      </c>
      <c r="M240" s="119">
        <f t="shared" si="60"/>
        <v>0</v>
      </c>
      <c r="N240" s="119">
        <f t="shared" si="61"/>
        <v>66.679178677846707</v>
      </c>
      <c r="O240" s="119">
        <v>0</v>
      </c>
      <c r="P240" s="119">
        <f t="shared" si="62"/>
        <v>66.679178677846707</v>
      </c>
    </row>
    <row r="241" spans="1:16" x14ac:dyDescent="0.2">
      <c r="A241" s="188">
        <v>49919</v>
      </c>
      <c r="B241" s="119">
        <f>VLOOKUP(A241,'ESAI - Q3 - Base Case'!$A$5:$J$342,9)</f>
        <v>70.287471247568959</v>
      </c>
      <c r="C241" s="119">
        <f t="shared" si="71"/>
        <v>0</v>
      </c>
      <c r="D241" s="119">
        <f t="shared" si="68"/>
        <v>72.39609538499603</v>
      </c>
      <c r="E241" s="119">
        <f t="shared" si="72"/>
        <v>0</v>
      </c>
      <c r="F241" s="119">
        <f t="shared" si="67"/>
        <v>72.39609538499603</v>
      </c>
      <c r="G241" s="119">
        <v>0</v>
      </c>
      <c r="H241" s="119">
        <f t="shared" si="58"/>
        <v>72.39609538499603</v>
      </c>
      <c r="J241" s="119">
        <f>VLOOKUP(A241,'ESAI - Q3 - Base Case'!$A$5:$J$342,10)</f>
        <v>61.552571976285748</v>
      </c>
      <c r="K241" s="119">
        <f t="shared" si="59"/>
        <v>0</v>
      </c>
      <c r="L241" s="119">
        <f t="shared" si="57"/>
        <v>63.399149135574319</v>
      </c>
      <c r="M241" s="119">
        <f t="shared" si="60"/>
        <v>0</v>
      </c>
      <c r="N241" s="119">
        <f t="shared" si="61"/>
        <v>63.399149135574319</v>
      </c>
      <c r="O241" s="119">
        <v>0</v>
      </c>
      <c r="P241" s="119">
        <f t="shared" si="62"/>
        <v>63.399149135574319</v>
      </c>
    </row>
    <row r="242" spans="1:16" x14ac:dyDescent="0.2">
      <c r="A242" s="188">
        <v>49949</v>
      </c>
      <c r="B242" s="119">
        <f>VLOOKUP(A242,'ESAI - Q3 - Base Case'!$A$5:$J$342,9)</f>
        <v>67.240637765683985</v>
      </c>
      <c r="C242" s="119">
        <f t="shared" si="71"/>
        <v>0</v>
      </c>
      <c r="D242" s="119">
        <f t="shared" si="68"/>
        <v>69.257856898654509</v>
      </c>
      <c r="E242" s="119">
        <f t="shared" si="72"/>
        <v>0</v>
      </c>
      <c r="F242" s="119">
        <f t="shared" si="67"/>
        <v>69.257856898654509</v>
      </c>
      <c r="G242" s="119">
        <v>0</v>
      </c>
      <c r="H242" s="119">
        <f t="shared" si="58"/>
        <v>69.257856898654509</v>
      </c>
      <c r="J242" s="119">
        <f>VLOOKUP(A242,'ESAI - Q3 - Base Case'!$A$5:$J$342,10)</f>
        <v>58.829671850211454</v>
      </c>
      <c r="K242" s="119">
        <f t="shared" si="59"/>
        <v>0</v>
      </c>
      <c r="L242" s="119">
        <f t="shared" si="57"/>
        <v>60.594562005717798</v>
      </c>
      <c r="M242" s="119">
        <f t="shared" si="60"/>
        <v>0</v>
      </c>
      <c r="N242" s="119">
        <f t="shared" si="61"/>
        <v>60.594562005717798</v>
      </c>
      <c r="O242" s="119">
        <v>0</v>
      </c>
      <c r="P242" s="119">
        <f t="shared" si="62"/>
        <v>60.594562005717798</v>
      </c>
    </row>
    <row r="243" spans="1:16" x14ac:dyDescent="0.2">
      <c r="A243" s="188">
        <v>49980</v>
      </c>
      <c r="B243" s="119">
        <f>VLOOKUP(A243,'ESAI - Q3 - Base Case'!$A$5:$J$342,9)</f>
        <v>77.256418407252966</v>
      </c>
      <c r="C243" s="119">
        <f t="shared" si="71"/>
        <v>0</v>
      </c>
      <c r="D243" s="119">
        <f t="shared" si="68"/>
        <v>79.574110959470559</v>
      </c>
      <c r="E243" s="119">
        <f t="shared" si="72"/>
        <v>0</v>
      </c>
      <c r="F243" s="119">
        <f t="shared" si="67"/>
        <v>79.574110959470559</v>
      </c>
      <c r="G243" s="119">
        <v>0</v>
      </c>
      <c r="H243" s="119">
        <f t="shared" si="58"/>
        <v>79.574110959470559</v>
      </c>
      <c r="J243" s="119">
        <f>VLOOKUP(A243,'ESAI - Q3 - Base Case'!$A$5:$J$342,10)</f>
        <v>64.807561149916452</v>
      </c>
      <c r="K243" s="119">
        <f t="shared" si="59"/>
        <v>0</v>
      </c>
      <c r="L243" s="119">
        <f t="shared" si="57"/>
        <v>66.751787984413951</v>
      </c>
      <c r="M243" s="119">
        <f t="shared" si="60"/>
        <v>0</v>
      </c>
      <c r="N243" s="119">
        <f t="shared" si="61"/>
        <v>66.751787984413951</v>
      </c>
      <c r="O243" s="119">
        <v>0</v>
      </c>
      <c r="P243" s="119">
        <f t="shared" si="62"/>
        <v>66.751787984413951</v>
      </c>
    </row>
    <row r="244" spans="1:16" x14ac:dyDescent="0.2">
      <c r="A244" s="188">
        <v>50010</v>
      </c>
      <c r="B244" s="119">
        <f>VLOOKUP(A244,'ESAI - Q3 - Base Case'!$A$5:$J$342,9)</f>
        <v>111.5567187953305</v>
      </c>
      <c r="C244" s="119">
        <f t="shared" si="71"/>
        <v>0</v>
      </c>
      <c r="D244" s="119">
        <f t="shared" si="68"/>
        <v>114.90342035919042</v>
      </c>
      <c r="E244" s="119">
        <f t="shared" si="72"/>
        <v>0</v>
      </c>
      <c r="F244" s="119">
        <f t="shared" si="67"/>
        <v>114.90342035919042</v>
      </c>
      <c r="G244" s="119">
        <v>0</v>
      </c>
      <c r="H244" s="119">
        <f t="shared" si="58"/>
        <v>114.90342035919042</v>
      </c>
      <c r="J244" s="119">
        <f>VLOOKUP(A244,'ESAI - Q3 - Base Case'!$A$5:$J$342,10)</f>
        <v>84.409378755754929</v>
      </c>
      <c r="K244" s="119">
        <f t="shared" si="59"/>
        <v>0</v>
      </c>
      <c r="L244" s="119">
        <f t="shared" si="57"/>
        <v>86.941660118427578</v>
      </c>
      <c r="M244" s="119">
        <f t="shared" si="60"/>
        <v>0</v>
      </c>
      <c r="N244" s="119">
        <f t="shared" si="61"/>
        <v>86.941660118427578</v>
      </c>
      <c r="O244" s="119">
        <v>0</v>
      </c>
      <c r="P244" s="119">
        <f t="shared" si="62"/>
        <v>86.941660118427578</v>
      </c>
    </row>
    <row r="245" spans="1:16" x14ac:dyDescent="0.2">
      <c r="A245" s="188">
        <v>50041</v>
      </c>
      <c r="B245" s="119">
        <f>VLOOKUP(A245,'ESAI - Q3 - Base Case'!$A$5:$J$342,9)</f>
        <v>156.3164380358848</v>
      </c>
      <c r="C245" s="119">
        <f>C233*(1+'Firm Purchase Revenue Reqmnt'!$I$71)</f>
        <v>0</v>
      </c>
      <c r="D245" s="119">
        <f t="shared" si="68"/>
        <v>161.00593117696135</v>
      </c>
      <c r="E245" s="120">
        <f>E233*(1+$E$2)</f>
        <v>0</v>
      </c>
      <c r="F245" s="119">
        <f t="shared" si="67"/>
        <v>161.00593117696135</v>
      </c>
      <c r="G245" s="120">
        <v>0</v>
      </c>
      <c r="H245" s="119">
        <f t="shared" si="58"/>
        <v>161.00593117696135</v>
      </c>
      <c r="J245" s="119">
        <f>VLOOKUP(A245,'ESAI - Q3 - Base Case'!$A$5:$J$342,10)</f>
        <v>105.62008508392913</v>
      </c>
      <c r="K245" s="119">
        <f t="shared" si="59"/>
        <v>0</v>
      </c>
      <c r="L245" s="119">
        <f t="shared" si="57"/>
        <v>108.78868763644701</v>
      </c>
      <c r="M245" s="120">
        <f t="shared" si="60"/>
        <v>0</v>
      </c>
      <c r="N245" s="119">
        <f t="shared" si="61"/>
        <v>108.78868763644701</v>
      </c>
      <c r="O245" s="120">
        <v>0</v>
      </c>
      <c r="P245" s="119">
        <f t="shared" si="62"/>
        <v>108.78868763644701</v>
      </c>
    </row>
    <row r="246" spans="1:16" x14ac:dyDescent="0.2">
      <c r="A246" s="188">
        <v>50072</v>
      </c>
      <c r="B246" s="119">
        <f>VLOOKUP(A246,'ESAI - Q3 - Base Case'!$A$5:$J$342,9)</f>
        <v>113.38894452509957</v>
      </c>
      <c r="C246" s="119">
        <f>C245</f>
        <v>0</v>
      </c>
      <c r="D246" s="119">
        <f t="shared" si="68"/>
        <v>116.79061286085256</v>
      </c>
      <c r="E246" s="119">
        <f>E245</f>
        <v>0</v>
      </c>
      <c r="F246" s="119">
        <f t="shared" si="67"/>
        <v>116.79061286085256</v>
      </c>
      <c r="G246" s="119">
        <v>0</v>
      </c>
      <c r="H246" s="119">
        <f t="shared" si="58"/>
        <v>116.79061286085256</v>
      </c>
      <c r="J246" s="119">
        <f>VLOOKUP(A246,'ESAI - Q3 - Base Case'!$A$5:$J$342,10)</f>
        <v>95.076765168695374</v>
      </c>
      <c r="K246" s="119">
        <f t="shared" si="59"/>
        <v>0</v>
      </c>
      <c r="L246" s="119">
        <f t="shared" si="57"/>
        <v>97.929068123756238</v>
      </c>
      <c r="M246" s="119">
        <f t="shared" si="60"/>
        <v>0</v>
      </c>
      <c r="N246" s="119">
        <f t="shared" si="61"/>
        <v>97.929068123756238</v>
      </c>
      <c r="O246" s="119">
        <v>0</v>
      </c>
      <c r="P246" s="119">
        <f t="shared" si="62"/>
        <v>97.929068123756238</v>
      </c>
    </row>
    <row r="247" spans="1:16" x14ac:dyDescent="0.2">
      <c r="A247" s="188">
        <v>50100</v>
      </c>
      <c r="B247" s="119">
        <f>VLOOKUP(A247,'ESAI - Q3 - Base Case'!$A$5:$J$342,9)</f>
        <v>79.8128080191847</v>
      </c>
      <c r="C247" s="119">
        <f t="shared" ref="C247:C256" si="73">C246</f>
        <v>0</v>
      </c>
      <c r="D247" s="119">
        <f t="shared" si="68"/>
        <v>82.207192259760248</v>
      </c>
      <c r="E247" s="119">
        <f t="shared" ref="E247:E256" si="74">E246</f>
        <v>0</v>
      </c>
      <c r="F247" s="119">
        <f t="shared" si="67"/>
        <v>82.207192259760248</v>
      </c>
      <c r="G247" s="119">
        <v>0</v>
      </c>
      <c r="H247" s="119">
        <f t="shared" si="58"/>
        <v>82.207192259760248</v>
      </c>
      <c r="J247" s="119">
        <f>VLOOKUP(A247,'ESAI - Q3 - Base Case'!$A$5:$J$342,10)</f>
        <v>66.897173089378796</v>
      </c>
      <c r="K247" s="119">
        <f t="shared" si="59"/>
        <v>0</v>
      </c>
      <c r="L247" s="119">
        <f t="shared" si="57"/>
        <v>68.904088282060158</v>
      </c>
      <c r="M247" s="119">
        <f t="shared" si="60"/>
        <v>0</v>
      </c>
      <c r="N247" s="119">
        <f t="shared" si="61"/>
        <v>68.904088282060158</v>
      </c>
      <c r="O247" s="119">
        <v>0</v>
      </c>
      <c r="P247" s="119">
        <f t="shared" si="62"/>
        <v>68.904088282060158</v>
      </c>
    </row>
    <row r="248" spans="1:16" x14ac:dyDescent="0.2">
      <c r="A248" s="188">
        <v>50131</v>
      </c>
      <c r="B248" s="119">
        <f>VLOOKUP(A248,'ESAI - Q3 - Base Case'!$A$5:$J$342,9)</f>
        <v>74.617464179824125</v>
      </c>
      <c r="C248" s="119">
        <f t="shared" si="73"/>
        <v>0</v>
      </c>
      <c r="D248" s="119">
        <f t="shared" si="68"/>
        <v>76.855988105218856</v>
      </c>
      <c r="E248" s="119">
        <f t="shared" si="74"/>
        <v>0</v>
      </c>
      <c r="F248" s="119">
        <f t="shared" si="67"/>
        <v>76.855988105218856</v>
      </c>
      <c r="G248" s="119">
        <v>0</v>
      </c>
      <c r="H248" s="119">
        <f t="shared" si="58"/>
        <v>76.855988105218856</v>
      </c>
      <c r="J248" s="119">
        <f>VLOOKUP(A248,'ESAI - Q3 - Base Case'!$A$5:$J$342,10)</f>
        <v>60.004417409987177</v>
      </c>
      <c r="K248" s="119">
        <f t="shared" si="59"/>
        <v>0</v>
      </c>
      <c r="L248" s="119">
        <f t="shared" si="57"/>
        <v>61.804549932286797</v>
      </c>
      <c r="M248" s="119">
        <f t="shared" si="60"/>
        <v>0</v>
      </c>
      <c r="N248" s="119">
        <f t="shared" si="61"/>
        <v>61.804549932286797</v>
      </c>
      <c r="O248" s="119">
        <v>0</v>
      </c>
      <c r="P248" s="119">
        <f t="shared" si="62"/>
        <v>61.804549932286797</v>
      </c>
    </row>
    <row r="249" spans="1:16" x14ac:dyDescent="0.2">
      <c r="A249" s="188">
        <v>50161</v>
      </c>
      <c r="B249" s="119">
        <f>VLOOKUP(A249,'ESAI - Q3 - Base Case'!$A$5:$J$342,9)</f>
        <v>84.321823607680173</v>
      </c>
      <c r="C249" s="119">
        <f t="shared" si="73"/>
        <v>0</v>
      </c>
      <c r="D249" s="119">
        <f t="shared" si="68"/>
        <v>86.851478315910583</v>
      </c>
      <c r="E249" s="119">
        <f t="shared" si="74"/>
        <v>0</v>
      </c>
      <c r="F249" s="119">
        <f t="shared" si="67"/>
        <v>86.851478315910583</v>
      </c>
      <c r="G249" s="119">
        <v>0</v>
      </c>
      <c r="H249" s="119">
        <f t="shared" si="58"/>
        <v>86.851478315910583</v>
      </c>
      <c r="J249" s="119">
        <f>VLOOKUP(A249,'ESAI - Q3 - Base Case'!$A$5:$J$342,10)</f>
        <v>62.177434895151904</v>
      </c>
      <c r="K249" s="119">
        <f t="shared" si="59"/>
        <v>0</v>
      </c>
      <c r="L249" s="119">
        <f t="shared" si="57"/>
        <v>64.04275794200646</v>
      </c>
      <c r="M249" s="119">
        <f t="shared" si="60"/>
        <v>0</v>
      </c>
      <c r="N249" s="119">
        <f t="shared" si="61"/>
        <v>64.04275794200646</v>
      </c>
      <c r="O249" s="119">
        <v>0</v>
      </c>
      <c r="P249" s="119">
        <f t="shared" si="62"/>
        <v>64.04275794200646</v>
      </c>
    </row>
    <row r="250" spans="1:16" x14ac:dyDescent="0.2">
      <c r="A250" s="188">
        <v>50192</v>
      </c>
      <c r="B250" s="119">
        <f>VLOOKUP(A250,'ESAI - Q3 - Base Case'!$A$5:$J$342,9)</f>
        <v>89.258331394082575</v>
      </c>
      <c r="C250" s="119">
        <f t="shared" si="73"/>
        <v>0</v>
      </c>
      <c r="D250" s="119">
        <f t="shared" si="68"/>
        <v>91.936081335905058</v>
      </c>
      <c r="E250" s="119">
        <f t="shared" si="74"/>
        <v>0</v>
      </c>
      <c r="F250" s="119">
        <f t="shared" si="67"/>
        <v>91.936081335905058</v>
      </c>
      <c r="G250" s="119">
        <v>0</v>
      </c>
      <c r="H250" s="119">
        <f t="shared" si="58"/>
        <v>91.936081335905058</v>
      </c>
      <c r="J250" s="119">
        <f>VLOOKUP(A250,'ESAI - Q3 - Base Case'!$A$5:$J$342,10)</f>
        <v>63.694644385759744</v>
      </c>
      <c r="K250" s="119">
        <f t="shared" si="59"/>
        <v>0</v>
      </c>
      <c r="L250" s="119">
        <f t="shared" si="57"/>
        <v>65.605483717332532</v>
      </c>
      <c r="M250" s="119">
        <f t="shared" si="60"/>
        <v>0</v>
      </c>
      <c r="N250" s="119">
        <f t="shared" si="61"/>
        <v>65.605483717332532</v>
      </c>
      <c r="O250" s="119">
        <v>0</v>
      </c>
      <c r="P250" s="119">
        <f t="shared" si="62"/>
        <v>65.605483717332532</v>
      </c>
    </row>
    <row r="251" spans="1:16" x14ac:dyDescent="0.2">
      <c r="A251" s="188">
        <v>50222</v>
      </c>
      <c r="B251" s="119">
        <f>VLOOKUP(A251,'ESAI - Q3 - Base Case'!$A$5:$J$342,9)</f>
        <v>108.98709504891147</v>
      </c>
      <c r="C251" s="119">
        <f t="shared" si="73"/>
        <v>0</v>
      </c>
      <c r="D251" s="119">
        <f t="shared" si="68"/>
        <v>112.25670790037881</v>
      </c>
      <c r="E251" s="119">
        <f t="shared" si="74"/>
        <v>0</v>
      </c>
      <c r="F251" s="119">
        <f t="shared" si="67"/>
        <v>112.25670790037881</v>
      </c>
      <c r="G251" s="119">
        <v>0</v>
      </c>
      <c r="H251" s="119">
        <f t="shared" si="58"/>
        <v>112.25670790037881</v>
      </c>
      <c r="J251" s="119">
        <f>VLOOKUP(A251,'ESAI - Q3 - Base Case'!$A$5:$J$342,10)</f>
        <v>67.066004197211527</v>
      </c>
      <c r="K251" s="119">
        <f t="shared" si="59"/>
        <v>0</v>
      </c>
      <c r="L251" s="119">
        <f t="shared" si="57"/>
        <v>69.077984323127879</v>
      </c>
      <c r="M251" s="119">
        <f t="shared" si="60"/>
        <v>0</v>
      </c>
      <c r="N251" s="119">
        <f t="shared" si="61"/>
        <v>69.077984323127879</v>
      </c>
      <c r="O251" s="119">
        <v>0</v>
      </c>
      <c r="P251" s="119">
        <f t="shared" si="62"/>
        <v>69.077984323127879</v>
      </c>
    </row>
    <row r="252" spans="1:16" x14ac:dyDescent="0.2">
      <c r="A252" s="188">
        <v>50253</v>
      </c>
      <c r="B252" s="119">
        <f>VLOOKUP(A252,'ESAI - Q3 - Base Case'!$A$5:$J$342,9)</f>
        <v>85.210068447739005</v>
      </c>
      <c r="C252" s="119">
        <f t="shared" si="73"/>
        <v>0</v>
      </c>
      <c r="D252" s="119">
        <f t="shared" si="68"/>
        <v>87.766370501171181</v>
      </c>
      <c r="E252" s="119">
        <f t="shared" si="74"/>
        <v>0</v>
      </c>
      <c r="F252" s="119">
        <f t="shared" si="67"/>
        <v>87.766370501171181</v>
      </c>
      <c r="G252" s="119">
        <v>0</v>
      </c>
      <c r="H252" s="119">
        <f t="shared" si="58"/>
        <v>87.766370501171181</v>
      </c>
      <c r="J252" s="119">
        <f>VLOOKUP(A252,'ESAI - Q3 - Base Case'!$A$5:$J$342,10)</f>
        <v>66.03180801107149</v>
      </c>
      <c r="K252" s="119">
        <f t="shared" si="59"/>
        <v>0</v>
      </c>
      <c r="L252" s="119">
        <f t="shared" si="57"/>
        <v>68.012762251403643</v>
      </c>
      <c r="M252" s="119">
        <f t="shared" si="60"/>
        <v>0</v>
      </c>
      <c r="N252" s="119">
        <f t="shared" si="61"/>
        <v>68.012762251403643</v>
      </c>
      <c r="O252" s="119">
        <v>0</v>
      </c>
      <c r="P252" s="119">
        <f t="shared" si="62"/>
        <v>68.012762251403643</v>
      </c>
    </row>
    <row r="253" spans="1:16" x14ac:dyDescent="0.2">
      <c r="A253" s="188">
        <v>50284</v>
      </c>
      <c r="B253" s="119">
        <f>VLOOKUP(A253,'ESAI - Q3 - Base Case'!$A$5:$J$342,9)</f>
        <v>71.69322067252034</v>
      </c>
      <c r="C253" s="119">
        <f t="shared" si="73"/>
        <v>0</v>
      </c>
      <c r="D253" s="119">
        <f t="shared" si="68"/>
        <v>73.844017292695952</v>
      </c>
      <c r="E253" s="119">
        <f t="shared" si="74"/>
        <v>0</v>
      </c>
      <c r="F253" s="119">
        <f t="shared" si="67"/>
        <v>73.844017292695952</v>
      </c>
      <c r="G253" s="119">
        <v>0</v>
      </c>
      <c r="H253" s="119">
        <f t="shared" si="58"/>
        <v>73.844017292695952</v>
      </c>
      <c r="J253" s="119">
        <f>VLOOKUP(A253,'ESAI - Q3 - Base Case'!$A$5:$J$342,10)</f>
        <v>62.783623415811462</v>
      </c>
      <c r="K253" s="119">
        <f t="shared" si="59"/>
        <v>0</v>
      </c>
      <c r="L253" s="119">
        <f t="shared" si="57"/>
        <v>64.667132118285807</v>
      </c>
      <c r="M253" s="119">
        <f t="shared" si="60"/>
        <v>0</v>
      </c>
      <c r="N253" s="119">
        <f t="shared" si="61"/>
        <v>64.667132118285807</v>
      </c>
      <c r="O253" s="119">
        <v>0</v>
      </c>
      <c r="P253" s="119">
        <f t="shared" si="62"/>
        <v>64.667132118285807</v>
      </c>
    </row>
    <row r="254" spans="1:16" x14ac:dyDescent="0.2">
      <c r="A254" s="188">
        <v>50314</v>
      </c>
      <c r="B254" s="119">
        <f>VLOOKUP(A254,'ESAI - Q3 - Base Case'!$A$5:$J$342,9)</f>
        <v>68.585450520997668</v>
      </c>
      <c r="C254" s="119">
        <f t="shared" si="73"/>
        <v>0</v>
      </c>
      <c r="D254" s="119">
        <f t="shared" si="68"/>
        <v>70.643014036627605</v>
      </c>
      <c r="E254" s="119">
        <f t="shared" si="74"/>
        <v>0</v>
      </c>
      <c r="F254" s="119">
        <f t="shared" si="67"/>
        <v>70.643014036627605</v>
      </c>
      <c r="G254" s="119">
        <v>0</v>
      </c>
      <c r="H254" s="119">
        <f t="shared" si="58"/>
        <v>70.643014036627605</v>
      </c>
      <c r="J254" s="119">
        <f>VLOOKUP(A254,'ESAI - Q3 - Base Case'!$A$5:$J$342,10)</f>
        <v>60.006265287215683</v>
      </c>
      <c r="K254" s="119">
        <f t="shared" si="59"/>
        <v>0</v>
      </c>
      <c r="L254" s="119">
        <f t="shared" si="57"/>
        <v>61.806453245832152</v>
      </c>
      <c r="M254" s="119">
        <f t="shared" si="60"/>
        <v>0</v>
      </c>
      <c r="N254" s="119">
        <f t="shared" si="61"/>
        <v>61.806453245832152</v>
      </c>
      <c r="O254" s="119">
        <v>0</v>
      </c>
      <c r="P254" s="119">
        <f t="shared" si="62"/>
        <v>61.806453245832152</v>
      </c>
    </row>
    <row r="255" spans="1:16" x14ac:dyDescent="0.2">
      <c r="A255" s="188">
        <v>50345</v>
      </c>
      <c r="B255" s="119">
        <f>VLOOKUP(A255,'ESAI - Q3 - Base Case'!$A$5:$J$342,9)</f>
        <v>78.801546775398023</v>
      </c>
      <c r="C255" s="119">
        <f t="shared" si="73"/>
        <v>0</v>
      </c>
      <c r="D255" s="119">
        <f t="shared" si="68"/>
        <v>81.165593178659961</v>
      </c>
      <c r="E255" s="119">
        <f t="shared" si="74"/>
        <v>0</v>
      </c>
      <c r="F255" s="119">
        <f t="shared" si="67"/>
        <v>81.165593178659961</v>
      </c>
      <c r="G255" s="119">
        <v>0</v>
      </c>
      <c r="H255" s="119">
        <f t="shared" si="58"/>
        <v>81.165593178659961</v>
      </c>
      <c r="J255" s="119">
        <f>VLOOKUP(A255,'ESAI - Q3 - Base Case'!$A$5:$J$342,10)</f>
        <v>66.103712372914785</v>
      </c>
      <c r="K255" s="119">
        <f t="shared" si="59"/>
        <v>0</v>
      </c>
      <c r="L255" s="119">
        <f t="shared" si="57"/>
        <v>68.086823744102233</v>
      </c>
      <c r="M255" s="119">
        <f t="shared" si="60"/>
        <v>0</v>
      </c>
      <c r="N255" s="119">
        <f t="shared" si="61"/>
        <v>68.086823744102233</v>
      </c>
      <c r="O255" s="119">
        <v>0</v>
      </c>
      <c r="P255" s="119">
        <f t="shared" si="62"/>
        <v>68.086823744102233</v>
      </c>
    </row>
    <row r="256" spans="1:16" x14ac:dyDescent="0.2">
      <c r="A256" s="188">
        <v>50375</v>
      </c>
      <c r="B256" s="119">
        <f>VLOOKUP(A256,'ESAI - Q3 - Base Case'!$A$5:$J$342,9)</f>
        <v>113.7878531712371</v>
      </c>
      <c r="C256" s="119">
        <f t="shared" si="73"/>
        <v>0</v>
      </c>
      <c r="D256" s="119">
        <f t="shared" si="68"/>
        <v>117.20148876637423</v>
      </c>
      <c r="E256" s="119">
        <f t="shared" si="74"/>
        <v>0</v>
      </c>
      <c r="F256" s="119">
        <f t="shared" si="67"/>
        <v>117.20148876637423</v>
      </c>
      <c r="G256" s="119">
        <v>0</v>
      </c>
      <c r="H256" s="119">
        <f t="shared" si="58"/>
        <v>117.20148876637423</v>
      </c>
      <c r="J256" s="119">
        <f>VLOOKUP(A256,'ESAI - Q3 - Base Case'!$A$5:$J$342,10)</f>
        <v>86.097566330870023</v>
      </c>
      <c r="K256" s="119">
        <f t="shared" si="59"/>
        <v>0</v>
      </c>
      <c r="L256" s="119">
        <f t="shared" si="57"/>
        <v>88.680493320796131</v>
      </c>
      <c r="M256" s="119">
        <f t="shared" si="60"/>
        <v>0</v>
      </c>
      <c r="N256" s="119">
        <f t="shared" si="61"/>
        <v>88.680493320796131</v>
      </c>
      <c r="O256" s="119">
        <v>0</v>
      </c>
      <c r="P256" s="119">
        <f t="shared" si="62"/>
        <v>88.680493320796131</v>
      </c>
    </row>
    <row r="257" spans="1:16" x14ac:dyDescent="0.2">
      <c r="A257" s="188">
        <v>50406</v>
      </c>
      <c r="B257" s="119">
        <f>VLOOKUP(A257,'ESAI - Q3 - Base Case'!$A$5:$J$342,9)</f>
        <v>159.44276679660251</v>
      </c>
      <c r="C257" s="119">
        <f>C245*(1+'Firm Purchase Revenue Reqmnt'!$I$71)</f>
        <v>0</v>
      </c>
      <c r="D257" s="119">
        <f t="shared" si="68"/>
        <v>164.22604980050059</v>
      </c>
      <c r="E257" s="120">
        <f>E245*(1+$E$2)</f>
        <v>0</v>
      </c>
      <c r="F257" s="119">
        <f t="shared" si="67"/>
        <v>164.22604980050059</v>
      </c>
      <c r="G257" s="120">
        <v>0</v>
      </c>
      <c r="H257" s="119">
        <f t="shared" si="58"/>
        <v>164.22604980050059</v>
      </c>
      <c r="J257" s="119">
        <f>VLOOKUP(A257,'ESAI - Q3 - Base Case'!$A$5:$J$342,10)</f>
        <v>107.7324867856077</v>
      </c>
      <c r="K257" s="119">
        <f t="shared" si="59"/>
        <v>0</v>
      </c>
      <c r="L257" s="119">
        <f t="shared" si="57"/>
        <v>110.96446138917594</v>
      </c>
      <c r="M257" s="120">
        <f t="shared" si="60"/>
        <v>0</v>
      </c>
      <c r="N257" s="119">
        <f t="shared" si="61"/>
        <v>110.96446138917594</v>
      </c>
      <c r="O257" s="120">
        <v>0</v>
      </c>
      <c r="P257" s="119">
        <f t="shared" si="62"/>
        <v>110.96446138917594</v>
      </c>
    </row>
    <row r="258" spans="1:16" x14ac:dyDescent="0.2">
      <c r="A258" s="188">
        <v>50437</v>
      </c>
      <c r="B258" s="119">
        <f>VLOOKUP(A258,'ESAI - Q3 - Base Case'!$A$5:$J$342,9)</f>
        <v>115.65672341560156</v>
      </c>
      <c r="C258" s="119">
        <f>C257</f>
        <v>0</v>
      </c>
      <c r="D258" s="119">
        <f t="shared" si="68"/>
        <v>119.1264251180696</v>
      </c>
      <c r="E258" s="119">
        <f>E257</f>
        <v>0</v>
      </c>
      <c r="F258" s="119">
        <f t="shared" si="67"/>
        <v>119.1264251180696</v>
      </c>
      <c r="G258" s="119">
        <v>0</v>
      </c>
      <c r="H258" s="119">
        <f t="shared" si="58"/>
        <v>119.1264251180696</v>
      </c>
      <c r="J258" s="119">
        <f>VLOOKUP(A258,'ESAI - Q3 - Base Case'!$A$5:$J$342,10)</f>
        <v>96.978300472069279</v>
      </c>
      <c r="K258" s="119">
        <f t="shared" si="59"/>
        <v>0</v>
      </c>
      <c r="L258" s="119">
        <f t="shared" si="57"/>
        <v>99.887649486231354</v>
      </c>
      <c r="M258" s="119">
        <f t="shared" si="60"/>
        <v>0</v>
      </c>
      <c r="N258" s="119">
        <f t="shared" si="61"/>
        <v>99.887649486231354</v>
      </c>
      <c r="O258" s="119">
        <v>0</v>
      </c>
      <c r="P258" s="119">
        <f t="shared" si="62"/>
        <v>99.887649486231354</v>
      </c>
    </row>
    <row r="259" spans="1:16" x14ac:dyDescent="0.2">
      <c r="A259" s="188">
        <v>50465</v>
      </c>
      <c r="B259" s="119">
        <f>VLOOKUP(A259,'ESAI - Q3 - Base Case'!$A$5:$J$342,9)</f>
        <v>81.409064179568389</v>
      </c>
      <c r="C259" s="119">
        <f t="shared" ref="C259:C268" si="75">C258</f>
        <v>0</v>
      </c>
      <c r="D259" s="119">
        <f t="shared" si="68"/>
        <v>83.851336104955436</v>
      </c>
      <c r="E259" s="119">
        <f t="shared" ref="E259:E268" si="76">E258</f>
        <v>0</v>
      </c>
      <c r="F259" s="119">
        <f t="shared" si="67"/>
        <v>83.851336104955436</v>
      </c>
      <c r="G259" s="119">
        <v>0</v>
      </c>
      <c r="H259" s="119">
        <f t="shared" si="58"/>
        <v>83.851336104955436</v>
      </c>
      <c r="J259" s="119">
        <f>VLOOKUP(A259,'ESAI - Q3 - Base Case'!$A$5:$J$342,10)</f>
        <v>68.235116551166371</v>
      </c>
      <c r="K259" s="119">
        <f t="shared" si="59"/>
        <v>0</v>
      </c>
      <c r="L259" s="119">
        <f t="shared" si="57"/>
        <v>70.282170047701371</v>
      </c>
      <c r="M259" s="119">
        <f t="shared" si="60"/>
        <v>0</v>
      </c>
      <c r="N259" s="119">
        <f t="shared" si="61"/>
        <v>70.282170047701371</v>
      </c>
      <c r="O259" s="119">
        <v>0</v>
      </c>
      <c r="P259" s="119">
        <f t="shared" si="62"/>
        <v>70.282170047701371</v>
      </c>
    </row>
    <row r="260" spans="1:16" x14ac:dyDescent="0.2">
      <c r="A260" s="188">
        <v>50496</v>
      </c>
      <c r="B260" s="119">
        <f>VLOOKUP(A260,'ESAI - Q3 - Base Case'!$A$5:$J$342,9)</f>
        <v>76.109813463420608</v>
      </c>
      <c r="C260" s="119">
        <f t="shared" si="75"/>
        <v>0</v>
      </c>
      <c r="D260" s="119">
        <f t="shared" si="68"/>
        <v>78.393107867323224</v>
      </c>
      <c r="E260" s="119">
        <f t="shared" si="76"/>
        <v>0</v>
      </c>
      <c r="F260" s="119">
        <f t="shared" si="67"/>
        <v>78.393107867323224</v>
      </c>
      <c r="G260" s="119">
        <v>0</v>
      </c>
      <c r="H260" s="119">
        <f t="shared" si="58"/>
        <v>78.393107867323224</v>
      </c>
      <c r="J260" s="119">
        <f>VLOOKUP(A260,'ESAI - Q3 - Base Case'!$A$5:$J$342,10)</f>
        <v>61.204505758186919</v>
      </c>
      <c r="K260" s="119">
        <f t="shared" si="59"/>
        <v>0</v>
      </c>
      <c r="L260" s="119">
        <f t="shared" si="57"/>
        <v>63.040640930932526</v>
      </c>
      <c r="M260" s="119">
        <f t="shared" si="60"/>
        <v>0</v>
      </c>
      <c r="N260" s="119">
        <f t="shared" si="61"/>
        <v>63.040640930932526</v>
      </c>
      <c r="O260" s="119">
        <v>0</v>
      </c>
      <c r="P260" s="119">
        <f t="shared" si="62"/>
        <v>63.040640930932526</v>
      </c>
    </row>
    <row r="261" spans="1:16" x14ac:dyDescent="0.2">
      <c r="A261" s="188">
        <v>50526</v>
      </c>
      <c r="B261" s="119">
        <f>VLOOKUP(A261,'ESAI - Q3 - Base Case'!$A$5:$J$342,9)</f>
        <v>86.008260079833775</v>
      </c>
      <c r="C261" s="119">
        <f t="shared" si="75"/>
        <v>0</v>
      </c>
      <c r="D261" s="119">
        <f t="shared" si="68"/>
        <v>88.588507882228797</v>
      </c>
      <c r="E261" s="119">
        <f t="shared" si="76"/>
        <v>0</v>
      </c>
      <c r="F261" s="119">
        <f t="shared" si="67"/>
        <v>88.588507882228797</v>
      </c>
      <c r="G261" s="119">
        <v>0</v>
      </c>
      <c r="H261" s="119">
        <f t="shared" si="58"/>
        <v>88.588507882228797</v>
      </c>
      <c r="J261" s="119">
        <f>VLOOKUP(A261,'ESAI - Q3 - Base Case'!$A$5:$J$342,10)</f>
        <v>63.420983593054942</v>
      </c>
      <c r="K261" s="119">
        <f t="shared" si="59"/>
        <v>0</v>
      </c>
      <c r="L261" s="119">
        <f t="shared" ref="L261:L292" si="77">SUM(J261:K261)*ForEx</f>
        <v>65.323613100846586</v>
      </c>
      <c r="M261" s="119">
        <f t="shared" si="60"/>
        <v>0</v>
      </c>
      <c r="N261" s="119">
        <f t="shared" si="61"/>
        <v>65.323613100846586</v>
      </c>
      <c r="O261" s="119">
        <v>0</v>
      </c>
      <c r="P261" s="119">
        <f t="shared" si="62"/>
        <v>65.323613100846586</v>
      </c>
    </row>
    <row r="262" spans="1:16" x14ac:dyDescent="0.2">
      <c r="A262" s="188">
        <v>50557</v>
      </c>
      <c r="B262" s="119">
        <f>VLOOKUP(A262,'ESAI - Q3 - Base Case'!$A$5:$J$342,9)</f>
        <v>91.043498021964226</v>
      </c>
      <c r="C262" s="119">
        <f t="shared" si="75"/>
        <v>0</v>
      </c>
      <c r="D262" s="119">
        <f t="shared" si="68"/>
        <v>93.774802962623156</v>
      </c>
      <c r="E262" s="119">
        <f t="shared" si="76"/>
        <v>0</v>
      </c>
      <c r="F262" s="119">
        <f t="shared" si="67"/>
        <v>93.774802962623156</v>
      </c>
      <c r="G262" s="119">
        <v>0</v>
      </c>
      <c r="H262" s="119">
        <f t="shared" ref="H262:H292" si="78">G262+F262</f>
        <v>93.774802962623156</v>
      </c>
      <c r="J262" s="119">
        <f>VLOOKUP(A262,'ESAI - Q3 - Base Case'!$A$5:$J$342,10)</f>
        <v>64.968537273474936</v>
      </c>
      <c r="K262" s="119">
        <f t="shared" ref="K262:K292" si="79">C262</f>
        <v>0</v>
      </c>
      <c r="L262" s="119">
        <f t="shared" si="77"/>
        <v>66.917593391679191</v>
      </c>
      <c r="M262" s="119">
        <f t="shared" ref="M262:M292" si="80">E262</f>
        <v>0</v>
      </c>
      <c r="N262" s="119">
        <f t="shared" ref="N262:N292" si="81">L262-M262</f>
        <v>66.917593391679191</v>
      </c>
      <c r="O262" s="119">
        <v>0</v>
      </c>
      <c r="P262" s="119">
        <f t="shared" ref="P262:P292" si="82">N262-O262</f>
        <v>66.917593391679191</v>
      </c>
    </row>
    <row r="263" spans="1:16" x14ac:dyDescent="0.2">
      <c r="A263" s="188">
        <v>50587</v>
      </c>
      <c r="B263" s="119">
        <f>VLOOKUP(A263,'ESAI - Q3 - Base Case'!$A$5:$J$342,9)</f>
        <v>111.1668369498897</v>
      </c>
      <c r="C263" s="119">
        <f t="shared" si="75"/>
        <v>0</v>
      </c>
      <c r="D263" s="119">
        <f t="shared" si="68"/>
        <v>114.50184205838639</v>
      </c>
      <c r="E263" s="119">
        <f t="shared" si="76"/>
        <v>0</v>
      </c>
      <c r="F263" s="119">
        <f t="shared" si="67"/>
        <v>114.50184205838639</v>
      </c>
      <c r="G263" s="119">
        <v>0</v>
      </c>
      <c r="H263" s="119">
        <f t="shared" si="78"/>
        <v>114.50184205838639</v>
      </c>
      <c r="J263" s="119">
        <f>VLOOKUP(A263,'ESAI - Q3 - Base Case'!$A$5:$J$342,10)</f>
        <v>68.407324281155752</v>
      </c>
      <c r="K263" s="119">
        <f t="shared" si="79"/>
        <v>0</v>
      </c>
      <c r="L263" s="119">
        <f t="shared" si="77"/>
        <v>70.459544009590431</v>
      </c>
      <c r="M263" s="119">
        <f t="shared" si="80"/>
        <v>0</v>
      </c>
      <c r="N263" s="119">
        <f t="shared" si="81"/>
        <v>70.459544009590431</v>
      </c>
      <c r="O263" s="119">
        <v>0</v>
      </c>
      <c r="P263" s="119">
        <f t="shared" si="82"/>
        <v>70.459544009590431</v>
      </c>
    </row>
    <row r="264" spans="1:16" x14ac:dyDescent="0.2">
      <c r="A264" s="188">
        <v>50618</v>
      </c>
      <c r="B264" s="119">
        <f>VLOOKUP(A264,'ESAI - Q3 - Base Case'!$A$5:$J$342,9)</f>
        <v>86.914269816693789</v>
      </c>
      <c r="C264" s="119">
        <f t="shared" si="75"/>
        <v>0</v>
      </c>
      <c r="D264" s="119">
        <f t="shared" si="68"/>
        <v>89.521697911194607</v>
      </c>
      <c r="E264" s="119">
        <f t="shared" si="76"/>
        <v>0</v>
      </c>
      <c r="F264" s="119">
        <f t="shared" si="67"/>
        <v>89.521697911194607</v>
      </c>
      <c r="G264" s="119">
        <v>0</v>
      </c>
      <c r="H264" s="119">
        <f t="shared" si="78"/>
        <v>89.521697911194607</v>
      </c>
      <c r="J264" s="119">
        <f>VLOOKUP(A264,'ESAI - Q3 - Base Case'!$A$5:$J$342,10)</f>
        <v>67.352444171292916</v>
      </c>
      <c r="K264" s="119">
        <f t="shared" si="79"/>
        <v>0</v>
      </c>
      <c r="L264" s="119">
        <f t="shared" si="77"/>
        <v>69.3730174964317</v>
      </c>
      <c r="M264" s="119">
        <f t="shared" si="80"/>
        <v>0</v>
      </c>
      <c r="N264" s="119">
        <f t="shared" si="81"/>
        <v>69.3730174964317</v>
      </c>
      <c r="O264" s="119">
        <v>0</v>
      </c>
      <c r="P264" s="119">
        <f t="shared" si="82"/>
        <v>69.3730174964317</v>
      </c>
    </row>
    <row r="265" spans="1:16" x14ac:dyDescent="0.2">
      <c r="A265" s="188">
        <v>50649</v>
      </c>
      <c r="B265" s="119">
        <f>VLOOKUP(A265,'ESAI - Q3 - Base Case'!$A$5:$J$342,9)</f>
        <v>73.127085085970748</v>
      </c>
      <c r="C265" s="119">
        <f t="shared" si="75"/>
        <v>0</v>
      </c>
      <c r="D265" s="119">
        <f t="shared" si="68"/>
        <v>75.320897638549866</v>
      </c>
      <c r="E265" s="119">
        <f t="shared" si="76"/>
        <v>0</v>
      </c>
      <c r="F265" s="119">
        <f t="shared" si="67"/>
        <v>75.320897638549866</v>
      </c>
      <c r="G265" s="119">
        <v>0</v>
      </c>
      <c r="H265" s="119">
        <f t="shared" si="78"/>
        <v>75.320897638549866</v>
      </c>
      <c r="J265" s="119">
        <f>VLOOKUP(A265,'ESAI - Q3 - Base Case'!$A$5:$J$342,10)</f>
        <v>64.039295884127696</v>
      </c>
      <c r="K265" s="119">
        <f t="shared" si="79"/>
        <v>0</v>
      </c>
      <c r="L265" s="119">
        <f t="shared" si="77"/>
        <v>65.960474760651536</v>
      </c>
      <c r="M265" s="119">
        <f t="shared" si="80"/>
        <v>0</v>
      </c>
      <c r="N265" s="119">
        <f t="shared" si="81"/>
        <v>65.960474760651536</v>
      </c>
      <c r="O265" s="119">
        <v>0</v>
      </c>
      <c r="P265" s="119">
        <f t="shared" si="82"/>
        <v>65.960474760651536</v>
      </c>
    </row>
    <row r="266" spans="1:16" x14ac:dyDescent="0.2">
      <c r="A266" s="188">
        <v>50679</v>
      </c>
      <c r="B266" s="119">
        <f>VLOOKUP(A266,'ESAI - Q3 - Base Case'!$A$5:$J$342,9)</f>
        <v>69.957159531417616</v>
      </c>
      <c r="C266" s="119">
        <f t="shared" si="75"/>
        <v>0</v>
      </c>
      <c r="D266" s="119">
        <f t="shared" si="68"/>
        <v>72.05587431736015</v>
      </c>
      <c r="E266" s="119">
        <f t="shared" si="76"/>
        <v>0</v>
      </c>
      <c r="F266" s="119">
        <f t="shared" si="67"/>
        <v>72.05587431736015</v>
      </c>
      <c r="G266" s="119">
        <v>0</v>
      </c>
      <c r="H266" s="119">
        <f t="shared" si="78"/>
        <v>72.05587431736015</v>
      </c>
      <c r="J266" s="119">
        <f>VLOOKUP(A266,'ESAI - Q3 - Base Case'!$A$5:$J$342,10)</f>
        <v>61.206390592959998</v>
      </c>
      <c r="K266" s="119">
        <f t="shared" si="79"/>
        <v>0</v>
      </c>
      <c r="L266" s="119">
        <f t="shared" si="77"/>
        <v>63.042582310748799</v>
      </c>
      <c r="M266" s="119">
        <f t="shared" si="80"/>
        <v>0</v>
      </c>
      <c r="N266" s="119">
        <f t="shared" si="81"/>
        <v>63.042582310748799</v>
      </c>
      <c r="O266" s="119">
        <v>0</v>
      </c>
      <c r="P266" s="119">
        <f t="shared" si="82"/>
        <v>63.042582310748799</v>
      </c>
    </row>
    <row r="267" spans="1:16" x14ac:dyDescent="0.2">
      <c r="A267" s="188">
        <v>50710</v>
      </c>
      <c r="B267" s="119">
        <f>VLOOKUP(A267,'ESAI - Q3 - Base Case'!$A$5:$J$342,9)</f>
        <v>80.377577710905982</v>
      </c>
      <c r="C267" s="119">
        <f t="shared" si="75"/>
        <v>0</v>
      </c>
      <c r="D267" s="119">
        <f t="shared" si="68"/>
        <v>82.788905042233168</v>
      </c>
      <c r="E267" s="119">
        <f t="shared" si="76"/>
        <v>0</v>
      </c>
      <c r="F267" s="119">
        <f t="shared" si="67"/>
        <v>82.788905042233168</v>
      </c>
      <c r="G267" s="119">
        <v>0</v>
      </c>
      <c r="H267" s="119">
        <f t="shared" si="78"/>
        <v>82.788905042233168</v>
      </c>
      <c r="J267" s="119">
        <f>VLOOKUP(A267,'ESAI - Q3 - Base Case'!$A$5:$J$342,10)</f>
        <v>67.425786620373088</v>
      </c>
      <c r="K267" s="119">
        <f t="shared" si="79"/>
        <v>0</v>
      </c>
      <c r="L267" s="119">
        <f t="shared" si="77"/>
        <v>69.448560218984284</v>
      </c>
      <c r="M267" s="119">
        <f t="shared" si="80"/>
        <v>0</v>
      </c>
      <c r="N267" s="119">
        <f t="shared" si="81"/>
        <v>69.448560218984284</v>
      </c>
      <c r="O267" s="119">
        <v>0</v>
      </c>
      <c r="P267" s="119">
        <f t="shared" si="82"/>
        <v>69.448560218984284</v>
      </c>
    </row>
    <row r="268" spans="1:16" x14ac:dyDescent="0.2">
      <c r="A268" s="188">
        <v>50740</v>
      </c>
      <c r="B268" s="119">
        <f>VLOOKUP(A268,'ESAI - Q3 - Base Case'!$A$5:$J$342,9)</f>
        <v>116.06361023466185</v>
      </c>
      <c r="C268" s="119">
        <f t="shared" si="75"/>
        <v>0</v>
      </c>
      <c r="D268" s="119">
        <f t="shared" si="68"/>
        <v>119.54551854170171</v>
      </c>
      <c r="E268" s="119">
        <f t="shared" si="76"/>
        <v>0</v>
      </c>
      <c r="F268" s="119">
        <f t="shared" si="67"/>
        <v>119.54551854170171</v>
      </c>
      <c r="G268" s="119">
        <v>0</v>
      </c>
      <c r="H268" s="119">
        <f t="shared" si="78"/>
        <v>119.54551854170171</v>
      </c>
      <c r="J268" s="119">
        <f>VLOOKUP(A268,'ESAI - Q3 - Base Case'!$A$5:$J$342,10)</f>
        <v>87.819517657487424</v>
      </c>
      <c r="K268" s="119">
        <f t="shared" si="79"/>
        <v>0</v>
      </c>
      <c r="L268" s="119">
        <f t="shared" si="77"/>
        <v>90.454103187212056</v>
      </c>
      <c r="M268" s="119">
        <f t="shared" si="80"/>
        <v>0</v>
      </c>
      <c r="N268" s="119">
        <f t="shared" si="81"/>
        <v>90.454103187212056</v>
      </c>
      <c r="O268" s="119">
        <v>0</v>
      </c>
      <c r="P268" s="119">
        <f t="shared" si="82"/>
        <v>90.454103187212056</v>
      </c>
    </row>
    <row r="269" spans="1:16" x14ac:dyDescent="0.2">
      <c r="A269" s="188">
        <v>50771</v>
      </c>
      <c r="B269" s="119">
        <f>VLOOKUP(A269,'ESAI - Q3 - Base Case'!$A$5:$J$342,9)</f>
        <v>162.63162213253457</v>
      </c>
      <c r="C269" s="119">
        <f>C257*(1+'Firm Purchase Revenue Reqmnt'!$I$71)</f>
        <v>0</v>
      </c>
      <c r="D269" s="119">
        <f t="shared" si="68"/>
        <v>167.51057079651062</v>
      </c>
      <c r="E269" s="120">
        <f>E257*(1+$E$2)</f>
        <v>0</v>
      </c>
      <c r="F269" s="119">
        <f t="shared" si="67"/>
        <v>167.51057079651062</v>
      </c>
      <c r="G269" s="120">
        <v>0</v>
      </c>
      <c r="H269" s="119">
        <f t="shared" si="78"/>
        <v>167.51057079651062</v>
      </c>
      <c r="J269" s="119">
        <f>VLOOKUP(A269,'ESAI - Q3 - Base Case'!$A$5:$J$342,10)</f>
        <v>109.88713652131986</v>
      </c>
      <c r="K269" s="119">
        <f t="shared" si="79"/>
        <v>0</v>
      </c>
      <c r="L269" s="119">
        <f t="shared" si="77"/>
        <v>113.18375061695946</v>
      </c>
      <c r="M269" s="120">
        <f t="shared" si="80"/>
        <v>0</v>
      </c>
      <c r="N269" s="119">
        <f t="shared" si="81"/>
        <v>113.18375061695946</v>
      </c>
      <c r="O269" s="120">
        <v>0</v>
      </c>
      <c r="P269" s="119">
        <f t="shared" si="82"/>
        <v>113.18375061695946</v>
      </c>
    </row>
    <row r="270" spans="1:16" x14ac:dyDescent="0.2">
      <c r="A270" s="188">
        <v>50802</v>
      </c>
      <c r="B270" s="119">
        <f>VLOOKUP(A270,'ESAI - Q3 - Base Case'!$A$5:$J$342,9)</f>
        <v>117.96985788391359</v>
      </c>
      <c r="C270" s="119">
        <f>C269</f>
        <v>0</v>
      </c>
      <c r="D270" s="119">
        <f t="shared" si="68"/>
        <v>121.508953620431</v>
      </c>
      <c r="E270" s="119">
        <f>E269</f>
        <v>0</v>
      </c>
      <c r="F270" s="119">
        <f t="shared" si="67"/>
        <v>121.508953620431</v>
      </c>
      <c r="G270" s="119">
        <v>0</v>
      </c>
      <c r="H270" s="119">
        <f t="shared" si="78"/>
        <v>121.508953620431</v>
      </c>
      <c r="J270" s="119">
        <f>VLOOKUP(A270,'ESAI - Q3 - Base Case'!$A$5:$J$342,10)</f>
        <v>98.917866481510671</v>
      </c>
      <c r="K270" s="119">
        <f t="shared" si="79"/>
        <v>0</v>
      </c>
      <c r="L270" s="119">
        <f t="shared" si="77"/>
        <v>101.885402475956</v>
      </c>
      <c r="M270" s="119">
        <f t="shared" si="80"/>
        <v>0</v>
      </c>
      <c r="N270" s="119">
        <f t="shared" si="81"/>
        <v>101.885402475956</v>
      </c>
      <c r="O270" s="119">
        <v>0</v>
      </c>
      <c r="P270" s="119">
        <f t="shared" si="82"/>
        <v>101.885402475956</v>
      </c>
    </row>
    <row r="271" spans="1:16" x14ac:dyDescent="0.2">
      <c r="A271" s="188">
        <v>50830</v>
      </c>
      <c r="B271" s="119">
        <f>VLOOKUP(A271,'ESAI - Q3 - Base Case'!$A$5:$J$342,9)</f>
        <v>83.037245463159763</v>
      </c>
      <c r="C271" s="119">
        <f t="shared" ref="C271:C280" si="83">C270</f>
        <v>0</v>
      </c>
      <c r="D271" s="119">
        <f t="shared" si="68"/>
        <v>85.528362827054565</v>
      </c>
      <c r="E271" s="119">
        <f t="shared" ref="E271:E280" si="84">E270</f>
        <v>0</v>
      </c>
      <c r="F271" s="119">
        <f t="shared" si="67"/>
        <v>85.528362827054565</v>
      </c>
      <c r="G271" s="119">
        <v>0</v>
      </c>
      <c r="H271" s="119">
        <f t="shared" si="78"/>
        <v>85.528362827054565</v>
      </c>
      <c r="J271" s="119">
        <f>VLOOKUP(A271,'ESAI - Q3 - Base Case'!$A$5:$J$342,10)</f>
        <v>69.599818882189695</v>
      </c>
      <c r="K271" s="119">
        <f t="shared" si="79"/>
        <v>0</v>
      </c>
      <c r="L271" s="119">
        <f t="shared" si="77"/>
        <v>71.68781344865539</v>
      </c>
      <c r="M271" s="119">
        <f t="shared" si="80"/>
        <v>0</v>
      </c>
      <c r="N271" s="119">
        <f t="shared" si="81"/>
        <v>71.68781344865539</v>
      </c>
      <c r="O271" s="119">
        <v>0</v>
      </c>
      <c r="P271" s="119">
        <f t="shared" si="82"/>
        <v>71.68781344865539</v>
      </c>
    </row>
    <row r="272" spans="1:16" x14ac:dyDescent="0.2">
      <c r="A272" s="188">
        <v>50861</v>
      </c>
      <c r="B272" s="119">
        <f>VLOOKUP(A272,'ESAI - Q3 - Base Case'!$A$5:$J$342,9)</f>
        <v>77.632009732689028</v>
      </c>
      <c r="C272" s="119">
        <f t="shared" si="83"/>
        <v>0</v>
      </c>
      <c r="D272" s="119">
        <f t="shared" si="68"/>
        <v>79.960970024669706</v>
      </c>
      <c r="E272" s="119">
        <f t="shared" si="84"/>
        <v>0</v>
      </c>
      <c r="F272" s="119">
        <f t="shared" si="67"/>
        <v>79.960970024669706</v>
      </c>
      <c r="G272" s="119">
        <v>0</v>
      </c>
      <c r="H272" s="119">
        <f t="shared" si="78"/>
        <v>79.960970024669706</v>
      </c>
      <c r="J272" s="119">
        <f>VLOOKUP(A272,'ESAI - Q3 - Base Case'!$A$5:$J$342,10)</f>
        <v>62.428595873350659</v>
      </c>
      <c r="K272" s="119">
        <f t="shared" si="79"/>
        <v>0</v>
      </c>
      <c r="L272" s="119">
        <f t="shared" si="77"/>
        <v>64.301453749551186</v>
      </c>
      <c r="M272" s="119">
        <f t="shared" si="80"/>
        <v>0</v>
      </c>
      <c r="N272" s="119">
        <f t="shared" si="81"/>
        <v>64.301453749551186</v>
      </c>
      <c r="O272" s="119">
        <v>0</v>
      </c>
      <c r="P272" s="119">
        <f t="shared" si="82"/>
        <v>64.301453749551186</v>
      </c>
    </row>
    <row r="273" spans="1:16" x14ac:dyDescent="0.2">
      <c r="A273" s="188">
        <v>50891</v>
      </c>
      <c r="B273" s="119">
        <f>VLOOKUP(A273,'ESAI - Q3 - Base Case'!$A$5:$J$342,9)</f>
        <v>87.728425281430447</v>
      </c>
      <c r="C273" s="119">
        <f t="shared" si="83"/>
        <v>0</v>
      </c>
      <c r="D273" s="119">
        <f t="shared" si="68"/>
        <v>90.360278039873364</v>
      </c>
      <c r="E273" s="119">
        <f t="shared" si="84"/>
        <v>0</v>
      </c>
      <c r="F273" s="119">
        <f t="shared" si="67"/>
        <v>90.360278039873364</v>
      </c>
      <c r="G273" s="119">
        <v>0</v>
      </c>
      <c r="H273" s="119">
        <f t="shared" si="78"/>
        <v>90.360278039873364</v>
      </c>
      <c r="J273" s="119">
        <f>VLOOKUP(A273,'ESAI - Q3 - Base Case'!$A$5:$J$342,10)</f>
        <v>64.689403264916038</v>
      </c>
      <c r="K273" s="119">
        <f t="shared" si="79"/>
        <v>0</v>
      </c>
      <c r="L273" s="119">
        <f t="shared" si="77"/>
        <v>66.630085362863525</v>
      </c>
      <c r="M273" s="119">
        <f t="shared" si="80"/>
        <v>0</v>
      </c>
      <c r="N273" s="119">
        <f t="shared" si="81"/>
        <v>66.630085362863525</v>
      </c>
      <c r="O273" s="119">
        <v>0</v>
      </c>
      <c r="P273" s="119">
        <f t="shared" si="82"/>
        <v>66.630085362863525</v>
      </c>
    </row>
    <row r="274" spans="1:16" x14ac:dyDescent="0.2">
      <c r="A274" s="188">
        <v>50922</v>
      </c>
      <c r="B274" s="119">
        <f>VLOOKUP(A274,'ESAI - Q3 - Base Case'!$A$5:$J$342,9)</f>
        <v>92.864367982403508</v>
      </c>
      <c r="C274" s="119">
        <f t="shared" si="83"/>
        <v>0</v>
      </c>
      <c r="D274" s="119">
        <f t="shared" si="68"/>
        <v>95.650299021875611</v>
      </c>
      <c r="E274" s="119">
        <f t="shared" si="84"/>
        <v>0</v>
      </c>
      <c r="F274" s="119">
        <f t="shared" si="67"/>
        <v>95.650299021875611</v>
      </c>
      <c r="G274" s="119">
        <v>0</v>
      </c>
      <c r="H274" s="119">
        <f t="shared" si="78"/>
        <v>95.650299021875611</v>
      </c>
      <c r="J274" s="119">
        <f>VLOOKUP(A274,'ESAI - Q3 - Base Case'!$A$5:$J$342,10)</f>
        <v>66.267908018944439</v>
      </c>
      <c r="K274" s="119">
        <f t="shared" si="79"/>
        <v>0</v>
      </c>
      <c r="L274" s="119">
        <f t="shared" si="77"/>
        <v>68.255945259512771</v>
      </c>
      <c r="M274" s="119">
        <f t="shared" si="80"/>
        <v>0</v>
      </c>
      <c r="N274" s="119">
        <f t="shared" si="81"/>
        <v>68.255945259512771</v>
      </c>
      <c r="O274" s="119">
        <v>0</v>
      </c>
      <c r="P274" s="119">
        <f t="shared" si="82"/>
        <v>68.255945259512771</v>
      </c>
    </row>
    <row r="275" spans="1:16" x14ac:dyDescent="0.2">
      <c r="A275" s="188">
        <v>50952</v>
      </c>
      <c r="B275" s="119">
        <f>VLOOKUP(A275,'ESAI - Q3 - Base Case'!$A$5:$J$342,9)</f>
        <v>113.3901736888875</v>
      </c>
      <c r="C275" s="119">
        <f t="shared" si="83"/>
        <v>0</v>
      </c>
      <c r="D275" s="119">
        <f t="shared" si="68"/>
        <v>116.79187889955413</v>
      </c>
      <c r="E275" s="119">
        <f t="shared" si="84"/>
        <v>0</v>
      </c>
      <c r="F275" s="119">
        <f t="shared" ref="F275:F292" si="85">D275-E275</f>
        <v>116.79187889955413</v>
      </c>
      <c r="G275" s="119">
        <v>0</v>
      </c>
      <c r="H275" s="119">
        <f t="shared" si="78"/>
        <v>116.79187889955413</v>
      </c>
      <c r="J275" s="119">
        <f>VLOOKUP(A275,'ESAI - Q3 - Base Case'!$A$5:$J$342,10)</f>
        <v>69.775470766778867</v>
      </c>
      <c r="K275" s="119">
        <f t="shared" si="79"/>
        <v>0</v>
      </c>
      <c r="L275" s="119">
        <f t="shared" si="77"/>
        <v>71.868734889782232</v>
      </c>
      <c r="M275" s="119">
        <f t="shared" si="80"/>
        <v>0</v>
      </c>
      <c r="N275" s="119">
        <f t="shared" si="81"/>
        <v>71.868734889782232</v>
      </c>
      <c r="O275" s="119">
        <v>0</v>
      </c>
      <c r="P275" s="119">
        <f t="shared" si="82"/>
        <v>71.868734889782232</v>
      </c>
    </row>
    <row r="276" spans="1:16" x14ac:dyDescent="0.2">
      <c r="A276" s="188">
        <v>50983</v>
      </c>
      <c r="B276" s="119">
        <f>VLOOKUP(A276,'ESAI - Q3 - Base Case'!$A$5:$J$342,9)</f>
        <v>88.652555213027668</v>
      </c>
      <c r="C276" s="119">
        <f t="shared" si="83"/>
        <v>0</v>
      </c>
      <c r="D276" s="119">
        <f t="shared" ref="D276:D292" si="86">SUM(B276:C276)*ForEx</f>
        <v>91.312131869418494</v>
      </c>
      <c r="E276" s="119">
        <f t="shared" si="84"/>
        <v>0</v>
      </c>
      <c r="F276" s="119">
        <f t="shared" si="85"/>
        <v>91.312131869418494</v>
      </c>
      <c r="G276" s="119">
        <v>0</v>
      </c>
      <c r="H276" s="119">
        <f t="shared" si="78"/>
        <v>91.312131869418494</v>
      </c>
      <c r="J276" s="119">
        <f>VLOOKUP(A276,'ESAI - Q3 - Base Case'!$A$5:$J$342,10)</f>
        <v>68.699493054718772</v>
      </c>
      <c r="K276" s="119">
        <f t="shared" si="79"/>
        <v>0</v>
      </c>
      <c r="L276" s="119">
        <f t="shared" si="77"/>
        <v>70.760477846360331</v>
      </c>
      <c r="M276" s="119">
        <f t="shared" si="80"/>
        <v>0</v>
      </c>
      <c r="N276" s="119">
        <f t="shared" si="81"/>
        <v>70.760477846360331</v>
      </c>
      <c r="O276" s="119">
        <v>0</v>
      </c>
      <c r="P276" s="119">
        <f t="shared" si="82"/>
        <v>70.760477846360331</v>
      </c>
    </row>
    <row r="277" spans="1:16" x14ac:dyDescent="0.2">
      <c r="A277" s="188">
        <v>51014</v>
      </c>
      <c r="B277" s="119">
        <f>VLOOKUP(A277,'ESAI - Q3 - Base Case'!$A$5:$J$342,9)</f>
        <v>74.589626787690165</v>
      </c>
      <c r="C277" s="119">
        <f t="shared" si="83"/>
        <v>0</v>
      </c>
      <c r="D277" s="119">
        <f t="shared" si="86"/>
        <v>76.827315591320868</v>
      </c>
      <c r="E277" s="119">
        <f t="shared" si="84"/>
        <v>0</v>
      </c>
      <c r="F277" s="119">
        <f t="shared" si="85"/>
        <v>76.827315591320868</v>
      </c>
      <c r="G277" s="119">
        <v>0</v>
      </c>
      <c r="H277" s="119">
        <f t="shared" si="78"/>
        <v>76.827315591320868</v>
      </c>
      <c r="J277" s="119">
        <f>VLOOKUP(A277,'ESAI - Q3 - Base Case'!$A$5:$J$342,10)</f>
        <v>65.320081801810247</v>
      </c>
      <c r="K277" s="119">
        <f t="shared" si="79"/>
        <v>0</v>
      </c>
      <c r="L277" s="119">
        <f t="shared" si="77"/>
        <v>67.279684255864552</v>
      </c>
      <c r="M277" s="119">
        <f t="shared" si="80"/>
        <v>0</v>
      </c>
      <c r="N277" s="119">
        <f t="shared" si="81"/>
        <v>67.279684255864552</v>
      </c>
      <c r="O277" s="119">
        <v>0</v>
      </c>
      <c r="P277" s="119">
        <f t="shared" si="82"/>
        <v>67.279684255864552</v>
      </c>
    </row>
    <row r="278" spans="1:16" x14ac:dyDescent="0.2">
      <c r="A278" s="188">
        <v>51044</v>
      </c>
      <c r="B278" s="119">
        <f>VLOOKUP(A278,'ESAI - Q3 - Base Case'!$A$5:$J$342,9)</f>
        <v>71.356302722045967</v>
      </c>
      <c r="C278" s="119">
        <f t="shared" si="83"/>
        <v>0</v>
      </c>
      <c r="D278" s="119">
        <f t="shared" si="86"/>
        <v>73.496991803707346</v>
      </c>
      <c r="E278" s="119">
        <f t="shared" si="84"/>
        <v>0</v>
      </c>
      <c r="F278" s="119">
        <f t="shared" si="85"/>
        <v>73.496991803707346</v>
      </c>
      <c r="G278" s="119">
        <v>0</v>
      </c>
      <c r="H278" s="119">
        <f t="shared" si="78"/>
        <v>73.496991803707346</v>
      </c>
      <c r="J278" s="119">
        <f>VLOOKUP(A278,'ESAI - Q3 - Base Case'!$A$5:$J$342,10)</f>
        <v>62.430518404819196</v>
      </c>
      <c r="K278" s="119">
        <f t="shared" si="79"/>
        <v>0</v>
      </c>
      <c r="L278" s="119">
        <f t="shared" si="77"/>
        <v>64.303433956963772</v>
      </c>
      <c r="M278" s="119">
        <f t="shared" si="80"/>
        <v>0</v>
      </c>
      <c r="N278" s="119">
        <f t="shared" si="81"/>
        <v>64.303433956963772</v>
      </c>
      <c r="O278" s="119">
        <v>0</v>
      </c>
      <c r="P278" s="119">
        <f t="shared" si="82"/>
        <v>64.303433956963772</v>
      </c>
    </row>
    <row r="279" spans="1:16" x14ac:dyDescent="0.2">
      <c r="A279" s="188">
        <v>51075</v>
      </c>
      <c r="B279" s="119">
        <f>VLOOKUP(A279,'ESAI - Q3 - Base Case'!$A$5:$J$342,9)</f>
        <v>81.985129265124101</v>
      </c>
      <c r="C279" s="119">
        <f t="shared" si="83"/>
        <v>0</v>
      </c>
      <c r="D279" s="119">
        <f t="shared" si="86"/>
        <v>84.444683143077825</v>
      </c>
      <c r="E279" s="119">
        <f t="shared" si="84"/>
        <v>0</v>
      </c>
      <c r="F279" s="119">
        <f t="shared" si="85"/>
        <v>84.444683143077825</v>
      </c>
      <c r="G279" s="119">
        <v>0</v>
      </c>
      <c r="H279" s="119">
        <f t="shared" si="78"/>
        <v>84.444683143077825</v>
      </c>
      <c r="J279" s="119">
        <f>VLOOKUP(A279,'ESAI - Q3 - Base Case'!$A$5:$J$342,10)</f>
        <v>68.774302352780552</v>
      </c>
      <c r="K279" s="119">
        <f t="shared" si="79"/>
        <v>0</v>
      </c>
      <c r="L279" s="119">
        <f t="shared" si="77"/>
        <v>70.83753142336397</v>
      </c>
      <c r="M279" s="119">
        <f t="shared" si="80"/>
        <v>0</v>
      </c>
      <c r="N279" s="119">
        <f t="shared" si="81"/>
        <v>70.83753142336397</v>
      </c>
      <c r="O279" s="119">
        <v>0</v>
      </c>
      <c r="P279" s="119">
        <f t="shared" si="82"/>
        <v>70.83753142336397</v>
      </c>
    </row>
    <row r="280" spans="1:16" x14ac:dyDescent="0.2">
      <c r="A280" s="188">
        <v>51105</v>
      </c>
      <c r="B280" s="119">
        <f>VLOOKUP(A280,'ESAI - Q3 - Base Case'!$A$5:$J$342,9)</f>
        <v>118.3848824393551</v>
      </c>
      <c r="C280" s="119">
        <f t="shared" si="83"/>
        <v>0</v>
      </c>
      <c r="D280" s="119">
        <f t="shared" si="86"/>
        <v>121.93642891253575</v>
      </c>
      <c r="E280" s="119">
        <f t="shared" si="84"/>
        <v>0</v>
      </c>
      <c r="F280" s="119">
        <f t="shared" si="85"/>
        <v>121.93642891253575</v>
      </c>
      <c r="G280" s="119">
        <v>0</v>
      </c>
      <c r="H280" s="119">
        <f t="shared" si="78"/>
        <v>121.93642891253575</v>
      </c>
      <c r="J280" s="119">
        <f>VLOOKUP(A280,'ESAI - Q3 - Base Case'!$A$5:$J$342,10)</f>
        <v>89.575908010637178</v>
      </c>
      <c r="K280" s="119">
        <f t="shared" si="79"/>
        <v>0</v>
      </c>
      <c r="L280" s="119">
        <f t="shared" si="77"/>
        <v>92.263185250956298</v>
      </c>
      <c r="M280" s="119">
        <f t="shared" si="80"/>
        <v>0</v>
      </c>
      <c r="N280" s="119">
        <f t="shared" si="81"/>
        <v>92.263185250956298</v>
      </c>
      <c r="O280" s="119">
        <v>0</v>
      </c>
      <c r="P280" s="119">
        <f t="shared" si="82"/>
        <v>92.263185250956298</v>
      </c>
    </row>
    <row r="281" spans="1:16" x14ac:dyDescent="0.2">
      <c r="A281" s="188">
        <v>51136</v>
      </c>
      <c r="B281" s="119">
        <f>VLOOKUP(A281,'ESAI - Q3 - Base Case'!$A$5:$J$342,9)</f>
        <v>165.88425457518528</v>
      </c>
      <c r="C281" s="119">
        <f>C269*(1+'Firm Purchase Revenue Reqmnt'!$I$71)</f>
        <v>0</v>
      </c>
      <c r="D281" s="119">
        <f t="shared" si="86"/>
        <v>170.86078221244085</v>
      </c>
      <c r="E281" s="120">
        <f>E269*(1+$E$2)</f>
        <v>0</v>
      </c>
      <c r="F281" s="119">
        <f t="shared" si="85"/>
        <v>170.86078221244085</v>
      </c>
      <c r="G281" s="120">
        <v>0</v>
      </c>
      <c r="H281" s="119">
        <f t="shared" si="78"/>
        <v>170.86078221244085</v>
      </c>
      <c r="J281" s="119">
        <f>VLOOKUP(A281,'ESAI - Q3 - Base Case'!$A$5:$J$342,10)</f>
        <v>112.08487925174626</v>
      </c>
      <c r="K281" s="119">
        <f t="shared" si="79"/>
        <v>0</v>
      </c>
      <c r="L281" s="119">
        <f t="shared" si="77"/>
        <v>115.44742562929865</v>
      </c>
      <c r="M281" s="120">
        <f t="shared" si="80"/>
        <v>0</v>
      </c>
      <c r="N281" s="119">
        <f t="shared" si="81"/>
        <v>115.44742562929865</v>
      </c>
      <c r="O281" s="120">
        <v>0</v>
      </c>
      <c r="P281" s="119">
        <f t="shared" si="82"/>
        <v>115.44742562929865</v>
      </c>
    </row>
    <row r="282" spans="1:16" x14ac:dyDescent="0.2">
      <c r="A282" s="188">
        <v>51167</v>
      </c>
      <c r="B282" s="119">
        <f>VLOOKUP(A282,'ESAI - Q3 - Base Case'!$A$5:$J$342,9)</f>
        <v>120.32925504159186</v>
      </c>
      <c r="C282" s="119">
        <f>C281</f>
        <v>0</v>
      </c>
      <c r="D282" s="119">
        <f t="shared" si="86"/>
        <v>123.93913269283962</v>
      </c>
      <c r="E282" s="119">
        <f>E281</f>
        <v>0</v>
      </c>
      <c r="F282" s="119">
        <f t="shared" si="85"/>
        <v>123.93913269283962</v>
      </c>
      <c r="G282" s="119">
        <v>0</v>
      </c>
      <c r="H282" s="119">
        <f t="shared" si="78"/>
        <v>123.93913269283962</v>
      </c>
      <c r="J282" s="119">
        <f>VLOOKUP(A282,'ESAI - Q3 - Base Case'!$A$5:$J$342,10)</f>
        <v>100.89622381114089</v>
      </c>
      <c r="K282" s="119">
        <f t="shared" si="79"/>
        <v>0</v>
      </c>
      <c r="L282" s="119">
        <f t="shared" si="77"/>
        <v>103.92311052547511</v>
      </c>
      <c r="M282" s="119">
        <f t="shared" si="80"/>
        <v>0</v>
      </c>
      <c r="N282" s="119">
        <f t="shared" si="81"/>
        <v>103.92311052547511</v>
      </c>
      <c r="O282" s="119">
        <v>0</v>
      </c>
      <c r="P282" s="119">
        <f t="shared" si="82"/>
        <v>103.92311052547511</v>
      </c>
    </row>
    <row r="283" spans="1:16" x14ac:dyDescent="0.2">
      <c r="A283" s="188">
        <v>51196</v>
      </c>
      <c r="B283" s="119">
        <f>VLOOKUP(A283,'ESAI - Q3 - Base Case'!$A$5:$J$342,9)</f>
        <v>84.697990372422964</v>
      </c>
      <c r="C283" s="119">
        <f t="shared" ref="C283:C292" si="87">C282</f>
        <v>0</v>
      </c>
      <c r="D283" s="119">
        <f t="shared" si="86"/>
        <v>87.238930083595662</v>
      </c>
      <c r="E283" s="119">
        <f t="shared" ref="E283:E292" si="88">E282</f>
        <v>0</v>
      </c>
      <c r="F283" s="119">
        <f t="shared" si="85"/>
        <v>87.238930083595662</v>
      </c>
      <c r="G283" s="119">
        <v>0</v>
      </c>
      <c r="H283" s="119">
        <f t="shared" si="78"/>
        <v>87.238930083595662</v>
      </c>
      <c r="J283" s="119">
        <f>VLOOKUP(A283,'ESAI - Q3 - Base Case'!$A$5:$J$342,10)</f>
        <v>70.991815259833487</v>
      </c>
      <c r="K283" s="119">
        <f t="shared" si="79"/>
        <v>0</v>
      </c>
      <c r="L283" s="119">
        <f t="shared" si="77"/>
        <v>73.121569717628489</v>
      </c>
      <c r="M283" s="119">
        <f t="shared" si="80"/>
        <v>0</v>
      </c>
      <c r="N283" s="119">
        <f t="shared" si="81"/>
        <v>73.121569717628489</v>
      </c>
      <c r="O283" s="119">
        <v>0</v>
      </c>
      <c r="P283" s="119">
        <f t="shared" si="82"/>
        <v>73.121569717628489</v>
      </c>
    </row>
    <row r="284" spans="1:16" x14ac:dyDescent="0.2">
      <c r="A284" s="188">
        <v>51227</v>
      </c>
      <c r="B284" s="119">
        <f>VLOOKUP(A284,'ESAI - Q3 - Base Case'!$A$5:$J$342,9)</f>
        <v>79.184649927342804</v>
      </c>
      <c r="C284" s="119">
        <f t="shared" si="87"/>
        <v>0</v>
      </c>
      <c r="D284" s="119">
        <f t="shared" si="86"/>
        <v>81.560189425163088</v>
      </c>
      <c r="E284" s="119">
        <f t="shared" si="88"/>
        <v>0</v>
      </c>
      <c r="F284" s="119">
        <f t="shared" si="85"/>
        <v>81.560189425163088</v>
      </c>
      <c r="G284" s="119">
        <v>0</v>
      </c>
      <c r="H284" s="119">
        <f t="shared" si="78"/>
        <v>81.560189425163088</v>
      </c>
      <c r="J284" s="119">
        <f>VLOOKUP(A284,'ESAI - Q3 - Base Case'!$A$5:$J$342,10)</f>
        <v>63.67716779081767</v>
      </c>
      <c r="K284" s="119">
        <f t="shared" si="79"/>
        <v>0</v>
      </c>
      <c r="L284" s="119">
        <f t="shared" si="77"/>
        <v>65.587482824542207</v>
      </c>
      <c r="M284" s="119">
        <f t="shared" si="80"/>
        <v>0</v>
      </c>
      <c r="N284" s="119">
        <f t="shared" si="81"/>
        <v>65.587482824542207</v>
      </c>
      <c r="O284" s="119">
        <v>0</v>
      </c>
      <c r="P284" s="119">
        <f t="shared" si="82"/>
        <v>65.587482824542207</v>
      </c>
    </row>
    <row r="285" spans="1:16" x14ac:dyDescent="0.2">
      <c r="A285" s="188">
        <v>51257</v>
      </c>
      <c r="B285" s="119">
        <f>VLOOKUP(A285,'ESAI - Q3 - Base Case'!$A$5:$J$342,9)</f>
        <v>89.482993787059058</v>
      </c>
      <c r="C285" s="119">
        <f t="shared" si="87"/>
        <v>0</v>
      </c>
      <c r="D285" s="119">
        <f t="shared" si="86"/>
        <v>92.167483600670835</v>
      </c>
      <c r="E285" s="119">
        <f t="shared" si="88"/>
        <v>0</v>
      </c>
      <c r="F285" s="119">
        <f t="shared" si="85"/>
        <v>92.167483600670835</v>
      </c>
      <c r="G285" s="119">
        <v>0</v>
      </c>
      <c r="H285" s="119">
        <f t="shared" si="78"/>
        <v>92.167483600670835</v>
      </c>
      <c r="J285" s="119">
        <f>VLOOKUP(A285,'ESAI - Q3 - Base Case'!$A$5:$J$342,10)</f>
        <v>65.983191330214353</v>
      </c>
      <c r="K285" s="119">
        <f t="shared" si="79"/>
        <v>0</v>
      </c>
      <c r="L285" s="119">
        <f t="shared" si="77"/>
        <v>67.962687070120779</v>
      </c>
      <c r="M285" s="119">
        <f t="shared" si="80"/>
        <v>0</v>
      </c>
      <c r="N285" s="119">
        <f t="shared" si="81"/>
        <v>67.962687070120779</v>
      </c>
      <c r="O285" s="119">
        <v>0</v>
      </c>
      <c r="P285" s="119">
        <f t="shared" si="82"/>
        <v>67.962687070120779</v>
      </c>
    </row>
    <row r="286" spans="1:16" x14ac:dyDescent="0.2">
      <c r="A286" s="188">
        <v>51288</v>
      </c>
      <c r="B286" s="119">
        <f>VLOOKUP(A286,'ESAI - Q3 - Base Case'!$A$5:$J$342,9)</f>
        <v>94.721655342051577</v>
      </c>
      <c r="C286" s="119">
        <f t="shared" si="87"/>
        <v>0</v>
      </c>
      <c r="D286" s="119">
        <f t="shared" si="86"/>
        <v>97.563305002313129</v>
      </c>
      <c r="E286" s="119">
        <f t="shared" si="88"/>
        <v>0</v>
      </c>
      <c r="F286" s="119">
        <f t="shared" si="85"/>
        <v>97.563305002313129</v>
      </c>
      <c r="G286" s="119">
        <v>0</v>
      </c>
      <c r="H286" s="119">
        <f t="shared" si="78"/>
        <v>97.563305002313129</v>
      </c>
      <c r="J286" s="119">
        <f>VLOOKUP(A286,'ESAI - Q3 - Base Case'!$A$5:$J$342,10)</f>
        <v>67.593266179323322</v>
      </c>
      <c r="K286" s="119">
        <f t="shared" si="79"/>
        <v>0</v>
      </c>
      <c r="L286" s="119">
        <f t="shared" si="77"/>
        <v>69.621064164703029</v>
      </c>
      <c r="M286" s="119">
        <f t="shared" si="80"/>
        <v>0</v>
      </c>
      <c r="N286" s="119">
        <f t="shared" si="81"/>
        <v>69.621064164703029</v>
      </c>
      <c r="O286" s="119">
        <v>0</v>
      </c>
      <c r="P286" s="119">
        <f t="shared" si="82"/>
        <v>69.621064164703029</v>
      </c>
    </row>
    <row r="287" spans="1:16" x14ac:dyDescent="0.2">
      <c r="A287" s="188">
        <v>51318</v>
      </c>
      <c r="B287" s="119">
        <f>VLOOKUP(A287,'ESAI - Q3 - Base Case'!$A$5:$J$342,9)</f>
        <v>115.65797716266525</v>
      </c>
      <c r="C287" s="119">
        <f t="shared" si="87"/>
        <v>0</v>
      </c>
      <c r="D287" s="119">
        <f t="shared" si="86"/>
        <v>119.12771647754521</v>
      </c>
      <c r="E287" s="119">
        <f t="shared" si="88"/>
        <v>0</v>
      </c>
      <c r="F287" s="119">
        <f t="shared" si="85"/>
        <v>119.12771647754521</v>
      </c>
      <c r="G287" s="119">
        <v>0</v>
      </c>
      <c r="H287" s="119">
        <f t="shared" si="78"/>
        <v>119.12771647754521</v>
      </c>
      <c r="J287" s="119">
        <f>VLOOKUP(A287,'ESAI - Q3 - Base Case'!$A$5:$J$342,10)</f>
        <v>71.170980182114448</v>
      </c>
      <c r="K287" s="119">
        <f t="shared" si="79"/>
        <v>0</v>
      </c>
      <c r="L287" s="119">
        <f t="shared" si="77"/>
        <v>73.306109587577879</v>
      </c>
      <c r="M287" s="119">
        <f t="shared" si="80"/>
        <v>0</v>
      </c>
      <c r="N287" s="119">
        <f t="shared" si="81"/>
        <v>73.306109587577879</v>
      </c>
      <c r="O287" s="119">
        <v>0</v>
      </c>
      <c r="P287" s="119">
        <f t="shared" si="82"/>
        <v>73.306109587577879</v>
      </c>
    </row>
    <row r="288" spans="1:16" x14ac:dyDescent="0.2">
      <c r="A288" s="188">
        <v>51349</v>
      </c>
      <c r="B288" s="119">
        <f>VLOOKUP(A288,'ESAI - Q3 - Base Case'!$A$5:$J$342,9)</f>
        <v>90.425606317288228</v>
      </c>
      <c r="C288" s="119">
        <f t="shared" si="87"/>
        <v>0</v>
      </c>
      <c r="D288" s="119">
        <f t="shared" si="86"/>
        <v>93.138374506806883</v>
      </c>
      <c r="E288" s="119">
        <f t="shared" si="88"/>
        <v>0</v>
      </c>
      <c r="F288" s="119">
        <f t="shared" si="85"/>
        <v>93.138374506806883</v>
      </c>
      <c r="G288" s="119">
        <v>0</v>
      </c>
      <c r="H288" s="119">
        <f t="shared" si="78"/>
        <v>93.138374506806883</v>
      </c>
      <c r="J288" s="119">
        <f>VLOOKUP(A288,'ESAI - Q3 - Base Case'!$A$5:$J$342,10)</f>
        <v>70.073482915813145</v>
      </c>
      <c r="K288" s="119">
        <f t="shared" si="79"/>
        <v>0</v>
      </c>
      <c r="L288" s="119">
        <f t="shared" si="77"/>
        <v>72.17568740328754</v>
      </c>
      <c r="M288" s="119">
        <f t="shared" si="80"/>
        <v>0</v>
      </c>
      <c r="N288" s="119">
        <f t="shared" si="81"/>
        <v>72.17568740328754</v>
      </c>
      <c r="O288" s="119">
        <v>0</v>
      </c>
      <c r="P288" s="119">
        <f t="shared" si="82"/>
        <v>72.17568740328754</v>
      </c>
    </row>
    <row r="289" spans="1:16" x14ac:dyDescent="0.2">
      <c r="A289" s="188">
        <v>51380</v>
      </c>
      <c r="B289" s="119">
        <f>VLOOKUP(A289,'ESAI - Q3 - Base Case'!$A$5:$J$342,9)</f>
        <v>76.081419323443967</v>
      </c>
      <c r="C289" s="119">
        <f t="shared" si="87"/>
        <v>0</v>
      </c>
      <c r="D289" s="119">
        <f t="shared" si="86"/>
        <v>78.363861903147281</v>
      </c>
      <c r="E289" s="119">
        <f t="shared" si="88"/>
        <v>0</v>
      </c>
      <c r="F289" s="119">
        <f t="shared" si="85"/>
        <v>78.363861903147281</v>
      </c>
      <c r="G289" s="119">
        <v>0</v>
      </c>
      <c r="H289" s="119">
        <f t="shared" si="78"/>
        <v>78.363861903147281</v>
      </c>
      <c r="J289" s="119">
        <f>VLOOKUP(A289,'ESAI - Q3 - Base Case'!$A$5:$J$342,10)</f>
        <v>66.62648343784646</v>
      </c>
      <c r="K289" s="119">
        <f t="shared" si="79"/>
        <v>0</v>
      </c>
      <c r="L289" s="119">
        <f t="shared" si="77"/>
        <v>68.62527794098186</v>
      </c>
      <c r="M289" s="119">
        <f t="shared" si="80"/>
        <v>0</v>
      </c>
      <c r="N289" s="119">
        <f t="shared" si="81"/>
        <v>68.62527794098186</v>
      </c>
      <c r="O289" s="119">
        <v>0</v>
      </c>
      <c r="P289" s="119">
        <f t="shared" si="82"/>
        <v>68.62527794098186</v>
      </c>
    </row>
    <row r="290" spans="1:16" x14ac:dyDescent="0.2">
      <c r="A290" s="188">
        <v>51410</v>
      </c>
      <c r="B290" s="119">
        <f>VLOOKUP(A290,'ESAI - Q3 - Base Case'!$A$5:$J$342,9)</f>
        <v>72.783428776486886</v>
      </c>
      <c r="C290" s="119">
        <f t="shared" si="87"/>
        <v>0</v>
      </c>
      <c r="D290" s="119">
        <f t="shared" si="86"/>
        <v>74.966931639781492</v>
      </c>
      <c r="E290" s="119">
        <f t="shared" si="88"/>
        <v>0</v>
      </c>
      <c r="F290" s="119">
        <f t="shared" si="85"/>
        <v>74.966931639781492</v>
      </c>
      <c r="G290" s="119">
        <v>0</v>
      </c>
      <c r="H290" s="119">
        <f t="shared" si="78"/>
        <v>74.966931639781492</v>
      </c>
      <c r="J290" s="119">
        <f>VLOOKUP(A290,'ESAI - Q3 - Base Case'!$A$5:$J$342,10)</f>
        <v>63.679128772915583</v>
      </c>
      <c r="K290" s="119">
        <f t="shared" si="79"/>
        <v>0</v>
      </c>
      <c r="L290" s="119">
        <f t="shared" si="77"/>
        <v>65.589502636103049</v>
      </c>
      <c r="M290" s="119">
        <f t="shared" si="80"/>
        <v>0</v>
      </c>
      <c r="N290" s="119">
        <f t="shared" si="81"/>
        <v>65.589502636103049</v>
      </c>
      <c r="O290" s="119">
        <v>0</v>
      </c>
      <c r="P290" s="119">
        <f t="shared" si="82"/>
        <v>65.589502636103049</v>
      </c>
    </row>
    <row r="291" spans="1:16" x14ac:dyDescent="0.2">
      <c r="A291" s="188">
        <v>51441</v>
      </c>
      <c r="B291" s="119">
        <f>VLOOKUP(A291,'ESAI - Q3 - Base Case'!$A$5:$J$342,9)</f>
        <v>83.624831850426588</v>
      </c>
      <c r="C291" s="119">
        <f t="shared" si="87"/>
        <v>0</v>
      </c>
      <c r="D291" s="119">
        <f t="shared" si="86"/>
        <v>86.133576805939384</v>
      </c>
      <c r="E291" s="119">
        <f t="shared" si="88"/>
        <v>0</v>
      </c>
      <c r="F291" s="119">
        <f t="shared" si="85"/>
        <v>86.133576805939384</v>
      </c>
      <c r="G291" s="119">
        <v>0</v>
      </c>
      <c r="H291" s="119">
        <f t="shared" si="78"/>
        <v>86.133576805939384</v>
      </c>
      <c r="J291" s="119">
        <f>VLOOKUP(A291,'ESAI - Q3 - Base Case'!$A$5:$J$342,10)</f>
        <v>70.149788399836169</v>
      </c>
      <c r="K291" s="119">
        <f t="shared" si="79"/>
        <v>0</v>
      </c>
      <c r="L291" s="119">
        <f t="shared" si="77"/>
        <v>72.254282051831254</v>
      </c>
      <c r="M291" s="119">
        <f t="shared" si="80"/>
        <v>0</v>
      </c>
      <c r="N291" s="119">
        <f t="shared" si="81"/>
        <v>72.254282051831254</v>
      </c>
      <c r="O291" s="119">
        <v>0</v>
      </c>
      <c r="P291" s="119">
        <f t="shared" si="82"/>
        <v>72.254282051831254</v>
      </c>
    </row>
    <row r="292" spans="1:16" x14ac:dyDescent="0.2">
      <c r="A292" s="187">
        <v>51471</v>
      </c>
      <c r="B292" s="124">
        <f>VLOOKUP(A292,'ESAI - Q3 - Base Case'!$A$5:$J$342,9)</f>
        <v>120.7525800881422</v>
      </c>
      <c r="C292" s="124">
        <f t="shared" si="87"/>
        <v>0</v>
      </c>
      <c r="D292" s="124">
        <f t="shared" si="86"/>
        <v>124.37515749078646</v>
      </c>
      <c r="E292" s="124">
        <f t="shared" si="88"/>
        <v>0</v>
      </c>
      <c r="F292" s="124">
        <f t="shared" si="85"/>
        <v>124.37515749078646</v>
      </c>
      <c r="G292" s="124">
        <v>0</v>
      </c>
      <c r="H292" s="124">
        <f t="shared" si="78"/>
        <v>124.37515749078646</v>
      </c>
      <c r="J292" s="124">
        <f>VLOOKUP(A292,'ESAI - Q3 - Base Case'!$A$5:$J$342,10)</f>
        <v>91.367426170849924</v>
      </c>
      <c r="K292" s="124">
        <f t="shared" si="79"/>
        <v>0</v>
      </c>
      <c r="L292" s="124">
        <f t="shared" si="77"/>
        <v>94.108448955975419</v>
      </c>
      <c r="M292" s="124">
        <f t="shared" si="80"/>
        <v>0</v>
      </c>
      <c r="N292" s="124">
        <f t="shared" si="81"/>
        <v>94.108448955975419</v>
      </c>
      <c r="O292" s="124">
        <v>0</v>
      </c>
      <c r="P292" s="124">
        <f t="shared" si="82"/>
        <v>94.108448955975419</v>
      </c>
    </row>
    <row r="293" spans="1:16" x14ac:dyDescent="0.2">
      <c r="A293" s="189"/>
      <c r="B293" s="180"/>
      <c r="C293" s="180"/>
      <c r="D293" s="180"/>
      <c r="E293" s="180"/>
      <c r="F293" s="180"/>
      <c r="G293" s="180"/>
      <c r="H293" s="180"/>
      <c r="J293" s="180"/>
      <c r="K293" s="180"/>
      <c r="L293" s="180"/>
      <c r="M293" s="180"/>
      <c r="N293" s="180"/>
      <c r="O293" s="180"/>
      <c r="P293" s="180"/>
    </row>
    <row r="294" spans="1:16" x14ac:dyDescent="0.2">
      <c r="A294" s="190" t="s">
        <v>186</v>
      </c>
      <c r="B294" s="180"/>
      <c r="C294" s="180"/>
      <c r="D294" s="180"/>
      <c r="E294" s="180"/>
      <c r="F294" s="180"/>
      <c r="G294" s="180"/>
      <c r="H294" s="180"/>
      <c r="J294" s="180"/>
      <c r="K294" s="180"/>
      <c r="L294" s="180"/>
      <c r="M294" s="180"/>
      <c r="N294" s="180"/>
      <c r="O294" s="180"/>
      <c r="P294" s="180"/>
    </row>
    <row r="295" spans="1:16" x14ac:dyDescent="0.2">
      <c r="A295" s="191">
        <v>0.06</v>
      </c>
      <c r="B295" s="180"/>
      <c r="C295" s="180"/>
      <c r="D295" s="180"/>
      <c r="E295" s="180"/>
      <c r="F295" s="180"/>
      <c r="G295" s="180"/>
      <c r="H295" s="180"/>
      <c r="J295" s="180"/>
      <c r="K295" s="180"/>
      <c r="L295" s="180"/>
      <c r="M295" s="180"/>
      <c r="N295" s="180"/>
      <c r="O295" s="180"/>
      <c r="P295" s="180"/>
    </row>
    <row r="296" spans="1:16" x14ac:dyDescent="0.2">
      <c r="A296" s="191">
        <f>A295/12</f>
        <v>5.0000000000000001E-3</v>
      </c>
      <c r="B296" s="180">
        <f>-PMT($A$296,$A$292-$A$5+1,NPV($A$296,B5:B292))</f>
        <v>57.074079109295496</v>
      </c>
      <c r="C296" s="180"/>
      <c r="D296" s="180">
        <f>-PMT($A$296,$A$292-$A$5+1,NPV($A$296,D5:D292))</f>
        <v>58.786301482574395</v>
      </c>
      <c r="E296" s="180"/>
      <c r="F296" s="180">
        <f>-PMT($A$296,$A$292-$A$5+1,NPV($A$296,F5:F292))</f>
        <v>58.786301482574395</v>
      </c>
      <c r="G296" s="180"/>
      <c r="H296" s="198">
        <f>-PMT($A$296,$A$292-$A$5+1,NPV($A$296,H5:H292))</f>
        <v>58.786301482574395</v>
      </c>
      <c r="J296" s="180">
        <f>-PMT($A$296,$A$292-$A$5+1,NPV($A$296,J5:J292))</f>
        <v>43.614743787541258</v>
      </c>
      <c r="K296" s="180"/>
      <c r="L296" s="180">
        <f>-PMT($A$296,$A$292-$A$5+1,NPV($A$296,L5:L292))</f>
        <v>44.923186101167495</v>
      </c>
      <c r="M296" s="180"/>
      <c r="N296" s="180">
        <f>-PMT($A$296,$A$292-$A$5+1,NPV($A$296,N5:N292))</f>
        <v>44.923186101167495</v>
      </c>
      <c r="O296" s="180"/>
      <c r="P296" s="198">
        <f>-PMT($A$296,$A$292-$A$5+1,NPV($A$296,P5:P292))</f>
        <v>44.923186101167495</v>
      </c>
    </row>
    <row r="297" spans="1:16" ht="10.5" customHeight="1" x14ac:dyDescent="0.2">
      <c r="A297" s="186" t="s">
        <v>189</v>
      </c>
      <c r="B297" s="180">
        <f>AVERAGE(B5:B292)</f>
        <v>79.419463645032764</v>
      </c>
      <c r="D297" s="180">
        <f>AVERAGE(D5:D292)</f>
        <v>81.802047554383762</v>
      </c>
      <c r="F297" s="180">
        <f>AVERAGE(F5:F292)</f>
        <v>81.802047554383762</v>
      </c>
      <c r="H297" s="180">
        <f>AVERAGE(H5:H292)</f>
        <v>81.802047554383762</v>
      </c>
      <c r="J297" s="180">
        <f>AVERAGE(J5:J292)</f>
        <v>60.767500141059145</v>
      </c>
      <c r="L297" s="180">
        <f>AVERAGE(L5:L292)</f>
        <v>62.590525145290911</v>
      </c>
      <c r="N297" s="180">
        <f>AVERAGE(N5:N292)</f>
        <v>62.590525145290911</v>
      </c>
      <c r="P297" s="180">
        <f>AVERAGE(P5:P292)</f>
        <v>62.590525145290911</v>
      </c>
    </row>
    <row r="298" spans="1:16" ht="15" x14ac:dyDescent="0.25">
      <c r="A298" s="192" t="s">
        <v>178</v>
      </c>
    </row>
    <row r="299" spans="1:16" x14ac:dyDescent="0.2">
      <c r="A299" s="186" t="s">
        <v>179</v>
      </c>
    </row>
    <row r="300" spans="1:16" x14ac:dyDescent="0.2">
      <c r="A300" s="186" t="s">
        <v>180</v>
      </c>
    </row>
    <row r="301" spans="1:16" x14ac:dyDescent="0.2">
      <c r="A301" s="186" t="s">
        <v>181</v>
      </c>
    </row>
    <row r="302" spans="1:16" x14ac:dyDescent="0.2">
      <c r="A302" s="186" t="s">
        <v>182</v>
      </c>
    </row>
    <row r="303" spans="1:16" x14ac:dyDescent="0.2">
      <c r="A303" s="186" t="s">
        <v>184</v>
      </c>
    </row>
    <row r="304" spans="1:16" x14ac:dyDescent="0.2">
      <c r="A304" s="186" t="s">
        <v>183</v>
      </c>
    </row>
    <row r="305" spans="1:1" x14ac:dyDescent="0.2">
      <c r="A305" s="186"/>
    </row>
    <row r="306" spans="1:1" x14ac:dyDescent="0.2">
      <c r="A306" s="186"/>
    </row>
    <row r="307" spans="1:1" x14ac:dyDescent="0.2">
      <c r="A307" s="186"/>
    </row>
    <row r="308" spans="1:1" x14ac:dyDescent="0.2">
      <c r="A308" s="186"/>
    </row>
    <row r="309" spans="1:1" x14ac:dyDescent="0.2">
      <c r="A309" s="186"/>
    </row>
    <row r="310" spans="1:1" x14ac:dyDescent="0.2">
      <c r="A310" s="186"/>
    </row>
    <row r="311" spans="1:1" x14ac:dyDescent="0.2">
      <c r="A311" s="186"/>
    </row>
    <row r="312" spans="1:1" x14ac:dyDescent="0.2">
      <c r="A312" s="186"/>
    </row>
    <row r="313" spans="1:1" x14ac:dyDescent="0.2">
      <c r="A313" s="186"/>
    </row>
    <row r="314" spans="1:1" x14ac:dyDescent="0.2">
      <c r="A314" s="186"/>
    </row>
    <row r="315" spans="1:1" x14ac:dyDescent="0.2">
      <c r="A315" s="186"/>
    </row>
    <row r="316" spans="1:1" x14ac:dyDescent="0.2">
      <c r="A316" s="186"/>
    </row>
    <row r="317" spans="1:1" x14ac:dyDescent="0.2">
      <c r="A317" s="186"/>
    </row>
    <row r="318" spans="1:1" x14ac:dyDescent="0.2">
      <c r="A318" s="186"/>
    </row>
    <row r="319" spans="1:1" x14ac:dyDescent="0.2">
      <c r="A319" s="186"/>
    </row>
    <row r="320" spans="1:1" x14ac:dyDescent="0.2">
      <c r="A320" s="186"/>
    </row>
    <row r="321" spans="1:1" x14ac:dyDescent="0.2">
      <c r="A321" s="186"/>
    </row>
    <row r="322" spans="1:1" x14ac:dyDescent="0.2">
      <c r="A322" s="186"/>
    </row>
    <row r="323" spans="1:1" x14ac:dyDescent="0.2">
      <c r="A323" s="186"/>
    </row>
    <row r="324" spans="1:1" x14ac:dyDescent="0.2">
      <c r="A324" s="186"/>
    </row>
    <row r="325" spans="1:1" x14ac:dyDescent="0.2">
      <c r="A325" s="186"/>
    </row>
    <row r="326" spans="1:1" x14ac:dyDescent="0.2">
      <c r="A326" s="186"/>
    </row>
    <row r="327" spans="1:1" x14ac:dyDescent="0.2">
      <c r="A327" s="186"/>
    </row>
    <row r="328" spans="1:1" x14ac:dyDescent="0.2">
      <c r="A328" s="186"/>
    </row>
    <row r="329" spans="1:1" x14ac:dyDescent="0.2">
      <c r="A329" s="186"/>
    </row>
    <row r="330" spans="1:1" x14ac:dyDescent="0.2">
      <c r="A330" s="186"/>
    </row>
    <row r="331" spans="1:1" x14ac:dyDescent="0.2">
      <c r="A331" s="186"/>
    </row>
    <row r="332" spans="1:1" x14ac:dyDescent="0.2">
      <c r="A332" s="186"/>
    </row>
    <row r="333" spans="1:1" x14ac:dyDescent="0.2">
      <c r="A333" s="186"/>
    </row>
    <row r="334" spans="1:1" x14ac:dyDescent="0.2">
      <c r="A334" s="186"/>
    </row>
    <row r="335" spans="1:1" x14ac:dyDescent="0.2">
      <c r="A335" s="186"/>
    </row>
    <row r="336" spans="1:1" x14ac:dyDescent="0.2">
      <c r="A336" s="186"/>
    </row>
    <row r="337" spans="1:1" x14ac:dyDescent="0.2">
      <c r="A337" s="186"/>
    </row>
    <row r="338" spans="1:1" x14ac:dyDescent="0.2">
      <c r="A338" s="186"/>
    </row>
    <row r="339" spans="1:1" x14ac:dyDescent="0.2">
      <c r="A339" s="186"/>
    </row>
    <row r="340" spans="1:1" x14ac:dyDescent="0.2">
      <c r="A340" s="186"/>
    </row>
    <row r="341" spans="1:1" x14ac:dyDescent="0.2">
      <c r="A341" s="186"/>
    </row>
    <row r="342" spans="1:1" x14ac:dyDescent="0.2">
      <c r="A342" s="186"/>
    </row>
    <row r="343" spans="1:1" x14ac:dyDescent="0.2">
      <c r="A343" s="186"/>
    </row>
    <row r="344" spans="1:1" x14ac:dyDescent="0.2">
      <c r="A344" s="186"/>
    </row>
    <row r="345" spans="1:1" x14ac:dyDescent="0.2">
      <c r="A345" s="186"/>
    </row>
    <row r="346" spans="1:1" x14ac:dyDescent="0.2">
      <c r="A346" s="186"/>
    </row>
    <row r="347" spans="1:1" x14ac:dyDescent="0.2">
      <c r="A347" s="186"/>
    </row>
    <row r="348" spans="1:1" x14ac:dyDescent="0.2">
      <c r="A348" s="186"/>
    </row>
    <row r="349" spans="1:1" x14ac:dyDescent="0.2">
      <c r="A349" s="186"/>
    </row>
    <row r="350" spans="1:1" x14ac:dyDescent="0.2">
      <c r="A350" s="186"/>
    </row>
    <row r="351" spans="1:1" x14ac:dyDescent="0.2">
      <c r="A351" s="186"/>
    </row>
    <row r="352" spans="1:1" x14ac:dyDescent="0.2">
      <c r="A352" s="186"/>
    </row>
    <row r="353" spans="1:1" x14ac:dyDescent="0.2">
      <c r="A353" s="186"/>
    </row>
    <row r="354" spans="1:1" x14ac:dyDescent="0.2">
      <c r="A354" s="186"/>
    </row>
    <row r="355" spans="1:1" x14ac:dyDescent="0.2">
      <c r="A355" s="186"/>
    </row>
    <row r="356" spans="1:1" x14ac:dyDescent="0.2">
      <c r="A356" s="186"/>
    </row>
    <row r="357" spans="1:1" x14ac:dyDescent="0.2">
      <c r="A357" s="186"/>
    </row>
    <row r="358" spans="1:1" x14ac:dyDescent="0.2">
      <c r="A358" s="186"/>
    </row>
    <row r="359" spans="1:1" x14ac:dyDescent="0.2">
      <c r="A359" s="186"/>
    </row>
    <row r="360" spans="1:1" x14ac:dyDescent="0.2">
      <c r="A360" s="186"/>
    </row>
    <row r="361" spans="1:1" x14ac:dyDescent="0.2">
      <c r="A361" s="186"/>
    </row>
    <row r="362" spans="1:1" x14ac:dyDescent="0.2">
      <c r="A362" s="186"/>
    </row>
    <row r="363" spans="1:1" x14ac:dyDescent="0.2">
      <c r="A363" s="186"/>
    </row>
    <row r="364" spans="1:1" x14ac:dyDescent="0.2">
      <c r="A364" s="186"/>
    </row>
    <row r="365" spans="1:1" x14ac:dyDescent="0.2">
      <c r="A365" s="186"/>
    </row>
    <row r="366" spans="1:1" x14ac:dyDescent="0.2">
      <c r="A366" s="186"/>
    </row>
    <row r="367" spans="1:1" x14ac:dyDescent="0.2">
      <c r="A367" s="186"/>
    </row>
    <row r="368" spans="1:1" x14ac:dyDescent="0.2">
      <c r="A368" s="186"/>
    </row>
    <row r="369" spans="1:1" x14ac:dyDescent="0.2">
      <c r="A369" s="186"/>
    </row>
    <row r="370" spans="1:1" x14ac:dyDescent="0.2">
      <c r="A370" s="186"/>
    </row>
    <row r="371" spans="1:1" x14ac:dyDescent="0.2">
      <c r="A371" s="186"/>
    </row>
    <row r="372" spans="1:1" x14ac:dyDescent="0.2">
      <c r="A372" s="186"/>
    </row>
    <row r="373" spans="1:1" x14ac:dyDescent="0.2">
      <c r="A373" s="186"/>
    </row>
    <row r="374" spans="1:1" x14ac:dyDescent="0.2">
      <c r="A374" s="186"/>
    </row>
    <row r="375" spans="1:1" x14ac:dyDescent="0.2">
      <c r="A375" s="186"/>
    </row>
    <row r="376" spans="1:1" x14ac:dyDescent="0.2">
      <c r="A376" s="186"/>
    </row>
    <row r="377" spans="1:1" x14ac:dyDescent="0.2">
      <c r="A377" s="186"/>
    </row>
    <row r="378" spans="1:1" x14ac:dyDescent="0.2">
      <c r="A378" s="186"/>
    </row>
    <row r="379" spans="1:1" x14ac:dyDescent="0.2">
      <c r="A379" s="186"/>
    </row>
    <row r="380" spans="1:1" x14ac:dyDescent="0.2">
      <c r="A380" s="186"/>
    </row>
    <row r="422" spans="1:1" x14ac:dyDescent="0.2">
      <c r="A422" s="186"/>
    </row>
    <row r="423" spans="1:1" x14ac:dyDescent="0.2">
      <c r="A423" s="186"/>
    </row>
    <row r="424" spans="1:1" x14ac:dyDescent="0.2">
      <c r="A424" s="186"/>
    </row>
    <row r="425" spans="1:1" x14ac:dyDescent="0.2">
      <c r="A425" s="186"/>
    </row>
    <row r="426" spans="1:1" x14ac:dyDescent="0.2">
      <c r="A426" s="186"/>
    </row>
    <row r="427" spans="1:1" x14ac:dyDescent="0.2">
      <c r="A427" s="186"/>
    </row>
    <row r="428" spans="1:1" x14ac:dyDescent="0.2">
      <c r="A428" s="186"/>
    </row>
    <row r="429" spans="1:1" x14ac:dyDescent="0.2">
      <c r="A429" s="186"/>
    </row>
    <row r="430" spans="1:1" x14ac:dyDescent="0.2">
      <c r="A430" s="186"/>
    </row>
    <row r="431" spans="1:1" x14ac:dyDescent="0.2">
      <c r="A431" s="186"/>
    </row>
    <row r="432" spans="1:1" x14ac:dyDescent="0.2">
      <c r="A432" s="186"/>
    </row>
    <row r="433" spans="1:1" x14ac:dyDescent="0.2">
      <c r="A433" s="186"/>
    </row>
    <row r="434" spans="1:1" x14ac:dyDescent="0.2">
      <c r="A434" s="186"/>
    </row>
    <row r="435" spans="1:1" x14ac:dyDescent="0.2">
      <c r="A435" s="186"/>
    </row>
    <row r="436" spans="1:1" x14ac:dyDescent="0.2">
      <c r="A436" s="186"/>
    </row>
    <row r="437" spans="1:1" x14ac:dyDescent="0.2">
      <c r="A437" s="186"/>
    </row>
    <row r="438" spans="1:1" x14ac:dyDescent="0.2">
      <c r="A438" s="186"/>
    </row>
    <row r="439" spans="1:1" x14ac:dyDescent="0.2">
      <c r="A439" s="186"/>
    </row>
    <row r="440" spans="1:1" x14ac:dyDescent="0.2">
      <c r="A440" s="186"/>
    </row>
    <row r="441" spans="1:1" x14ac:dyDescent="0.2">
      <c r="A441" s="186"/>
    </row>
    <row r="442" spans="1:1" x14ac:dyDescent="0.2">
      <c r="A442" s="186"/>
    </row>
    <row r="443" spans="1:1" x14ac:dyDescent="0.2">
      <c r="A443" s="186"/>
    </row>
    <row r="444" spans="1:1" x14ac:dyDescent="0.2">
      <c r="A444" s="186"/>
    </row>
    <row r="445" spans="1:1" x14ac:dyDescent="0.2">
      <c r="A445" s="186"/>
    </row>
    <row r="446" spans="1:1" x14ac:dyDescent="0.2">
      <c r="A446" s="186"/>
    </row>
    <row r="447" spans="1:1" x14ac:dyDescent="0.2">
      <c r="A447" s="186"/>
    </row>
    <row r="448" spans="1:1" x14ac:dyDescent="0.2">
      <c r="A448" s="186"/>
    </row>
    <row r="449" spans="1:1" x14ac:dyDescent="0.2">
      <c r="A449" s="186"/>
    </row>
    <row r="450" spans="1:1" x14ac:dyDescent="0.2">
      <c r="A450" s="186"/>
    </row>
    <row r="451" spans="1:1" x14ac:dyDescent="0.2">
      <c r="A451" s="186"/>
    </row>
    <row r="452" spans="1:1" x14ac:dyDescent="0.2">
      <c r="A452" s="186"/>
    </row>
    <row r="453" spans="1:1" x14ac:dyDescent="0.2">
      <c r="A453" s="186"/>
    </row>
    <row r="454" spans="1:1" x14ac:dyDescent="0.2">
      <c r="A454" s="186"/>
    </row>
    <row r="455" spans="1:1" x14ac:dyDescent="0.2">
      <c r="A455" s="186"/>
    </row>
    <row r="456" spans="1:1" x14ac:dyDescent="0.2">
      <c r="A456" s="186"/>
    </row>
    <row r="457" spans="1:1" x14ac:dyDescent="0.2">
      <c r="A457" s="186"/>
    </row>
    <row r="458" spans="1:1" x14ac:dyDescent="0.2">
      <c r="A458" s="186"/>
    </row>
    <row r="459" spans="1:1" x14ac:dyDescent="0.2">
      <c r="A459" s="186"/>
    </row>
    <row r="460" spans="1:1" x14ac:dyDescent="0.2">
      <c r="A460" s="186"/>
    </row>
    <row r="461" spans="1:1" x14ac:dyDescent="0.2">
      <c r="A461" s="186"/>
    </row>
    <row r="462" spans="1:1" x14ac:dyDescent="0.2">
      <c r="A462" s="186"/>
    </row>
    <row r="463" spans="1:1" x14ac:dyDescent="0.2">
      <c r="A463" s="186"/>
    </row>
    <row r="464" spans="1:1" x14ac:dyDescent="0.2">
      <c r="A464" s="186"/>
    </row>
    <row r="465" spans="1:1" x14ac:dyDescent="0.2">
      <c r="A465" s="186"/>
    </row>
    <row r="466" spans="1:1" x14ac:dyDescent="0.2">
      <c r="A466" s="186"/>
    </row>
    <row r="467" spans="1:1" x14ac:dyDescent="0.2">
      <c r="A467" s="186"/>
    </row>
    <row r="468" spans="1:1" x14ac:dyDescent="0.2">
      <c r="A468" s="186"/>
    </row>
    <row r="469" spans="1:1" x14ac:dyDescent="0.2">
      <c r="A469" s="186"/>
    </row>
    <row r="470" spans="1:1" x14ac:dyDescent="0.2">
      <c r="A470" s="186"/>
    </row>
    <row r="471" spans="1:1" x14ac:dyDescent="0.2">
      <c r="A471" s="186"/>
    </row>
    <row r="472" spans="1:1" x14ac:dyDescent="0.2">
      <c r="A472" s="186"/>
    </row>
    <row r="473" spans="1:1" x14ac:dyDescent="0.2">
      <c r="A473" s="186"/>
    </row>
    <row r="474" spans="1:1" x14ac:dyDescent="0.2">
      <c r="A474" s="186"/>
    </row>
    <row r="475" spans="1:1" x14ac:dyDescent="0.2">
      <c r="A475" s="186"/>
    </row>
    <row r="476" spans="1:1" x14ac:dyDescent="0.2">
      <c r="A476" s="186"/>
    </row>
    <row r="477" spans="1:1" x14ac:dyDescent="0.2">
      <c r="A477" s="186"/>
    </row>
    <row r="478" spans="1:1" x14ac:dyDescent="0.2">
      <c r="A478" s="186"/>
    </row>
    <row r="479" spans="1:1" x14ac:dyDescent="0.2">
      <c r="A479" s="186"/>
    </row>
    <row r="480" spans="1:1" x14ac:dyDescent="0.2">
      <c r="A480" s="186"/>
    </row>
    <row r="481" spans="1:1" x14ac:dyDescent="0.2">
      <c r="A481" s="186"/>
    </row>
    <row r="482" spans="1:1" x14ac:dyDescent="0.2">
      <c r="A482" s="186"/>
    </row>
    <row r="483" spans="1:1" x14ac:dyDescent="0.2">
      <c r="A483" s="186"/>
    </row>
    <row r="484" spans="1:1" x14ac:dyDescent="0.2">
      <c r="A484" s="186"/>
    </row>
    <row r="485" spans="1:1" x14ac:dyDescent="0.2">
      <c r="A485" s="186"/>
    </row>
    <row r="486" spans="1:1" x14ac:dyDescent="0.2">
      <c r="A486" s="186"/>
    </row>
    <row r="487" spans="1:1" x14ac:dyDescent="0.2">
      <c r="A487" s="186"/>
    </row>
    <row r="488" spans="1:1" x14ac:dyDescent="0.2">
      <c r="A488" s="186"/>
    </row>
    <row r="489" spans="1:1" x14ac:dyDescent="0.2">
      <c r="A489" s="186"/>
    </row>
    <row r="490" spans="1:1" x14ac:dyDescent="0.2">
      <c r="A490" s="186"/>
    </row>
    <row r="491" spans="1:1" x14ac:dyDescent="0.2">
      <c r="A491" s="186"/>
    </row>
    <row r="492" spans="1:1" x14ac:dyDescent="0.2">
      <c r="A492" s="186"/>
    </row>
    <row r="493" spans="1:1" x14ac:dyDescent="0.2">
      <c r="A493" s="186"/>
    </row>
    <row r="494" spans="1:1" x14ac:dyDescent="0.2">
      <c r="A494" s="186"/>
    </row>
    <row r="495" spans="1:1" x14ac:dyDescent="0.2">
      <c r="A495" s="186"/>
    </row>
    <row r="496" spans="1:1" x14ac:dyDescent="0.2">
      <c r="A496" s="186"/>
    </row>
    <row r="497" spans="1:1" x14ac:dyDescent="0.2">
      <c r="A497" s="186"/>
    </row>
    <row r="498" spans="1:1" x14ac:dyDescent="0.2">
      <c r="A498" s="186"/>
    </row>
    <row r="499" spans="1:1" x14ac:dyDescent="0.2">
      <c r="A499" s="186"/>
    </row>
    <row r="500" spans="1:1" x14ac:dyDescent="0.2">
      <c r="A500" s="186"/>
    </row>
    <row r="501" spans="1:1" x14ac:dyDescent="0.2">
      <c r="A501" s="186"/>
    </row>
    <row r="502" spans="1:1" x14ac:dyDescent="0.2">
      <c r="A502" s="186"/>
    </row>
    <row r="503" spans="1:1" x14ac:dyDescent="0.2">
      <c r="A503" s="186"/>
    </row>
    <row r="504" spans="1:1" x14ac:dyDescent="0.2">
      <c r="A504" s="186"/>
    </row>
    <row r="505" spans="1:1" x14ac:dyDescent="0.2">
      <c r="A505" s="186"/>
    </row>
    <row r="506" spans="1:1" x14ac:dyDescent="0.2">
      <c r="A506" s="186"/>
    </row>
    <row r="507" spans="1:1" x14ac:dyDescent="0.2">
      <c r="A507" s="186"/>
    </row>
    <row r="508" spans="1:1" x14ac:dyDescent="0.2">
      <c r="A508" s="186"/>
    </row>
    <row r="509" spans="1:1" x14ac:dyDescent="0.2">
      <c r="A509" s="186"/>
    </row>
    <row r="510" spans="1:1" x14ac:dyDescent="0.2">
      <c r="A510" s="186"/>
    </row>
    <row r="511" spans="1:1" x14ac:dyDescent="0.2">
      <c r="A511" s="186"/>
    </row>
    <row r="512" spans="1:1" x14ac:dyDescent="0.2">
      <c r="A512" s="186"/>
    </row>
    <row r="513" spans="1:1" x14ac:dyDescent="0.2">
      <c r="A513" s="186"/>
    </row>
    <row r="514" spans="1:1" x14ac:dyDescent="0.2">
      <c r="A514" s="186"/>
    </row>
    <row r="515" spans="1:1" x14ac:dyDescent="0.2">
      <c r="A515" s="186"/>
    </row>
    <row r="516" spans="1:1" x14ac:dyDescent="0.2">
      <c r="A516" s="186"/>
    </row>
    <row r="517" spans="1:1" x14ac:dyDescent="0.2">
      <c r="A517" s="186"/>
    </row>
    <row r="518" spans="1:1" x14ac:dyDescent="0.2">
      <c r="A518" s="186"/>
    </row>
    <row r="519" spans="1:1" x14ac:dyDescent="0.2">
      <c r="A519" s="186"/>
    </row>
    <row r="520" spans="1:1" x14ac:dyDescent="0.2">
      <c r="A520" s="186"/>
    </row>
    <row r="521" spans="1:1" x14ac:dyDescent="0.2">
      <c r="A521" s="186"/>
    </row>
    <row r="522" spans="1:1" x14ac:dyDescent="0.2">
      <c r="A522" s="186"/>
    </row>
    <row r="523" spans="1:1" x14ac:dyDescent="0.2">
      <c r="A523" s="186"/>
    </row>
    <row r="524" spans="1:1" x14ac:dyDescent="0.2">
      <c r="A524" s="186"/>
    </row>
    <row r="525" spans="1:1" x14ac:dyDescent="0.2">
      <c r="A525" s="186"/>
    </row>
    <row r="526" spans="1:1" x14ac:dyDescent="0.2">
      <c r="A526" s="186"/>
    </row>
    <row r="527" spans="1:1" x14ac:dyDescent="0.2">
      <c r="A527" s="186"/>
    </row>
    <row r="528" spans="1:1" x14ac:dyDescent="0.2">
      <c r="A528" s="186"/>
    </row>
    <row r="529" spans="1:1" x14ac:dyDescent="0.2">
      <c r="A529" s="186"/>
    </row>
    <row r="530" spans="1:1" x14ac:dyDescent="0.2">
      <c r="A530" s="186"/>
    </row>
    <row r="531" spans="1:1" x14ac:dyDescent="0.2">
      <c r="A531" s="186"/>
    </row>
    <row r="532" spans="1:1" x14ac:dyDescent="0.2">
      <c r="A532" s="186"/>
    </row>
    <row r="533" spans="1:1" x14ac:dyDescent="0.2">
      <c r="A533" s="186"/>
    </row>
    <row r="534" spans="1:1" x14ac:dyDescent="0.2">
      <c r="A534" s="186"/>
    </row>
    <row r="535" spans="1:1" x14ac:dyDescent="0.2">
      <c r="A535" s="186"/>
    </row>
    <row r="536" spans="1:1" x14ac:dyDescent="0.2">
      <c r="A536" s="186"/>
    </row>
    <row r="537" spans="1:1" x14ac:dyDescent="0.2">
      <c r="A537" s="186"/>
    </row>
    <row r="538" spans="1:1" x14ac:dyDescent="0.2">
      <c r="A538" s="186"/>
    </row>
    <row r="539" spans="1:1" x14ac:dyDescent="0.2">
      <c r="A539" s="186"/>
    </row>
    <row r="540" spans="1:1" x14ac:dyDescent="0.2">
      <c r="A540" s="186"/>
    </row>
    <row r="541" spans="1:1" x14ac:dyDescent="0.2">
      <c r="A541" s="186"/>
    </row>
    <row r="542" spans="1:1" x14ac:dyDescent="0.2">
      <c r="A542" s="186"/>
    </row>
    <row r="543" spans="1:1" x14ac:dyDescent="0.2">
      <c r="A543" s="186"/>
    </row>
    <row r="544" spans="1:1" x14ac:dyDescent="0.2">
      <c r="A544" s="186"/>
    </row>
    <row r="545" spans="1:1" x14ac:dyDescent="0.2">
      <c r="A545" s="186"/>
    </row>
    <row r="546" spans="1:1" x14ac:dyDescent="0.2">
      <c r="A546" s="186"/>
    </row>
    <row r="547" spans="1:1" x14ac:dyDescent="0.2">
      <c r="A547" s="186"/>
    </row>
    <row r="548" spans="1:1" x14ac:dyDescent="0.2">
      <c r="A548" s="186"/>
    </row>
    <row r="549" spans="1:1" x14ac:dyDescent="0.2">
      <c r="A549" s="186"/>
    </row>
    <row r="550" spans="1:1" x14ac:dyDescent="0.2">
      <c r="A550" s="186"/>
    </row>
    <row r="551" spans="1:1" x14ac:dyDescent="0.2">
      <c r="A551" s="186"/>
    </row>
    <row r="552" spans="1:1" x14ac:dyDescent="0.2">
      <c r="A552" s="186"/>
    </row>
    <row r="553" spans="1:1" x14ac:dyDescent="0.2">
      <c r="A553" s="186"/>
    </row>
    <row r="554" spans="1:1" x14ac:dyDescent="0.2">
      <c r="A554" s="186"/>
    </row>
    <row r="555" spans="1:1" x14ac:dyDescent="0.2">
      <c r="A555" s="186"/>
    </row>
  </sheetData>
  <mergeCells count="2">
    <mergeCell ref="B1:H1"/>
    <mergeCell ref="J1:P1"/>
  </mergeCells>
  <printOptions horizontalCentered="1" verticalCentered="1"/>
  <pageMargins left="0.7" right="0.7" top="0.75" bottom="0.75" header="0.3" footer="0.3"/>
  <pageSetup scale="47" orientation="landscape" r:id="rId1"/>
  <headerFooter>
    <oddFooter>&amp;L&amp;"Bradley Hand ITC,Regular"&amp;F
&amp;A&amp;R&amp;"Bradley Hand ITC,Regular"&amp;D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54"/>
  <sheetViews>
    <sheetView zoomScaleNormal="100" workbookViewId="0">
      <selection activeCell="I25" sqref="I25"/>
    </sheetView>
  </sheetViews>
  <sheetFormatPr defaultRowHeight="15" x14ac:dyDescent="0.25"/>
  <cols>
    <col min="1" max="1" width="4.140625" style="85" customWidth="1"/>
    <col min="2" max="2" width="27" style="85" customWidth="1"/>
    <col min="3" max="3" width="11.140625" style="85" customWidth="1"/>
    <col min="4" max="5" width="9.140625" style="85"/>
    <col min="6" max="6" width="10.28515625" style="85" customWidth="1"/>
    <col min="7" max="7" width="9.140625" style="85"/>
    <col min="8" max="8" width="9.28515625" style="85" customWidth="1"/>
    <col min="9" max="10" width="9.140625" style="85"/>
    <col min="11" max="11" width="12.28515625" style="85" customWidth="1"/>
    <col min="12" max="12" width="11" style="85" customWidth="1"/>
    <col min="13" max="256" width="9.140625" style="85"/>
    <col min="257" max="257" width="4.140625" style="85" customWidth="1"/>
    <col min="258" max="258" width="27" style="85" customWidth="1"/>
    <col min="259" max="259" width="11.140625" style="85" customWidth="1"/>
    <col min="260" max="261" width="9.140625" style="85"/>
    <col min="262" max="262" width="10.28515625" style="85" customWidth="1"/>
    <col min="263" max="263" width="9.140625" style="85"/>
    <col min="264" max="264" width="9.28515625" style="85" customWidth="1"/>
    <col min="265" max="266" width="9.140625" style="85"/>
    <col min="267" max="267" width="12.28515625" style="85" customWidth="1"/>
    <col min="268" max="268" width="11" style="85" customWidth="1"/>
    <col min="269" max="512" width="9.140625" style="85"/>
    <col min="513" max="513" width="4.140625" style="85" customWidth="1"/>
    <col min="514" max="514" width="27" style="85" customWidth="1"/>
    <col min="515" max="515" width="11.140625" style="85" customWidth="1"/>
    <col min="516" max="517" width="9.140625" style="85"/>
    <col min="518" max="518" width="10.28515625" style="85" customWidth="1"/>
    <col min="519" max="519" width="9.140625" style="85"/>
    <col min="520" max="520" width="9.28515625" style="85" customWidth="1"/>
    <col min="521" max="522" width="9.140625" style="85"/>
    <col min="523" max="523" width="12.28515625" style="85" customWidth="1"/>
    <col min="524" max="524" width="11" style="85" customWidth="1"/>
    <col min="525" max="768" width="9.140625" style="85"/>
    <col min="769" max="769" width="4.140625" style="85" customWidth="1"/>
    <col min="770" max="770" width="27" style="85" customWidth="1"/>
    <col min="771" max="771" width="11.140625" style="85" customWidth="1"/>
    <col min="772" max="773" width="9.140625" style="85"/>
    <col min="774" max="774" width="10.28515625" style="85" customWidth="1"/>
    <col min="775" max="775" width="9.140625" style="85"/>
    <col min="776" max="776" width="9.28515625" style="85" customWidth="1"/>
    <col min="777" max="778" width="9.140625" style="85"/>
    <col min="779" max="779" width="12.28515625" style="85" customWidth="1"/>
    <col min="780" max="780" width="11" style="85" customWidth="1"/>
    <col min="781" max="1024" width="9.140625" style="85"/>
    <col min="1025" max="1025" width="4.140625" style="85" customWidth="1"/>
    <col min="1026" max="1026" width="27" style="85" customWidth="1"/>
    <col min="1027" max="1027" width="11.140625" style="85" customWidth="1"/>
    <col min="1028" max="1029" width="9.140625" style="85"/>
    <col min="1030" max="1030" width="10.28515625" style="85" customWidth="1"/>
    <col min="1031" max="1031" width="9.140625" style="85"/>
    <col min="1032" max="1032" width="9.28515625" style="85" customWidth="1"/>
    <col min="1033" max="1034" width="9.140625" style="85"/>
    <col min="1035" max="1035" width="12.28515625" style="85" customWidth="1"/>
    <col min="1036" max="1036" width="11" style="85" customWidth="1"/>
    <col min="1037" max="1280" width="9.140625" style="85"/>
    <col min="1281" max="1281" width="4.140625" style="85" customWidth="1"/>
    <col min="1282" max="1282" width="27" style="85" customWidth="1"/>
    <col min="1283" max="1283" width="11.140625" style="85" customWidth="1"/>
    <col min="1284" max="1285" width="9.140625" style="85"/>
    <col min="1286" max="1286" width="10.28515625" style="85" customWidth="1"/>
    <col min="1287" max="1287" width="9.140625" style="85"/>
    <col min="1288" max="1288" width="9.28515625" style="85" customWidth="1"/>
    <col min="1289" max="1290" width="9.140625" style="85"/>
    <col min="1291" max="1291" width="12.28515625" style="85" customWidth="1"/>
    <col min="1292" max="1292" width="11" style="85" customWidth="1"/>
    <col min="1293" max="1536" width="9.140625" style="85"/>
    <col min="1537" max="1537" width="4.140625" style="85" customWidth="1"/>
    <col min="1538" max="1538" width="27" style="85" customWidth="1"/>
    <col min="1539" max="1539" width="11.140625" style="85" customWidth="1"/>
    <col min="1540" max="1541" width="9.140625" style="85"/>
    <col min="1542" max="1542" width="10.28515625" style="85" customWidth="1"/>
    <col min="1543" max="1543" width="9.140625" style="85"/>
    <col min="1544" max="1544" width="9.28515625" style="85" customWidth="1"/>
    <col min="1545" max="1546" width="9.140625" style="85"/>
    <col min="1547" max="1547" width="12.28515625" style="85" customWidth="1"/>
    <col min="1548" max="1548" width="11" style="85" customWidth="1"/>
    <col min="1549" max="1792" width="9.140625" style="85"/>
    <col min="1793" max="1793" width="4.140625" style="85" customWidth="1"/>
    <col min="1794" max="1794" width="27" style="85" customWidth="1"/>
    <col min="1795" max="1795" width="11.140625" style="85" customWidth="1"/>
    <col min="1796" max="1797" width="9.140625" style="85"/>
    <col min="1798" max="1798" width="10.28515625" style="85" customWidth="1"/>
    <col min="1799" max="1799" width="9.140625" style="85"/>
    <col min="1800" max="1800" width="9.28515625" style="85" customWidth="1"/>
    <col min="1801" max="1802" width="9.140625" style="85"/>
    <col min="1803" max="1803" width="12.28515625" style="85" customWidth="1"/>
    <col min="1804" max="1804" width="11" style="85" customWidth="1"/>
    <col min="1805" max="2048" width="9.140625" style="85"/>
    <col min="2049" max="2049" width="4.140625" style="85" customWidth="1"/>
    <col min="2050" max="2050" width="27" style="85" customWidth="1"/>
    <col min="2051" max="2051" width="11.140625" style="85" customWidth="1"/>
    <col min="2052" max="2053" width="9.140625" style="85"/>
    <col min="2054" max="2054" width="10.28515625" style="85" customWidth="1"/>
    <col min="2055" max="2055" width="9.140625" style="85"/>
    <col min="2056" max="2056" width="9.28515625" style="85" customWidth="1"/>
    <col min="2057" max="2058" width="9.140625" style="85"/>
    <col min="2059" max="2059" width="12.28515625" style="85" customWidth="1"/>
    <col min="2060" max="2060" width="11" style="85" customWidth="1"/>
    <col min="2061" max="2304" width="9.140625" style="85"/>
    <col min="2305" max="2305" width="4.140625" style="85" customWidth="1"/>
    <col min="2306" max="2306" width="27" style="85" customWidth="1"/>
    <col min="2307" max="2307" width="11.140625" style="85" customWidth="1"/>
    <col min="2308" max="2309" width="9.140625" style="85"/>
    <col min="2310" max="2310" width="10.28515625" style="85" customWidth="1"/>
    <col min="2311" max="2311" width="9.140625" style="85"/>
    <col min="2312" max="2312" width="9.28515625" style="85" customWidth="1"/>
    <col min="2313" max="2314" width="9.140625" style="85"/>
    <col min="2315" max="2315" width="12.28515625" style="85" customWidth="1"/>
    <col min="2316" max="2316" width="11" style="85" customWidth="1"/>
    <col min="2317" max="2560" width="9.140625" style="85"/>
    <col min="2561" max="2561" width="4.140625" style="85" customWidth="1"/>
    <col min="2562" max="2562" width="27" style="85" customWidth="1"/>
    <col min="2563" max="2563" width="11.140625" style="85" customWidth="1"/>
    <col min="2564" max="2565" width="9.140625" style="85"/>
    <col min="2566" max="2566" width="10.28515625" style="85" customWidth="1"/>
    <col min="2567" max="2567" width="9.140625" style="85"/>
    <col min="2568" max="2568" width="9.28515625" style="85" customWidth="1"/>
    <col min="2569" max="2570" width="9.140625" style="85"/>
    <col min="2571" max="2571" width="12.28515625" style="85" customWidth="1"/>
    <col min="2572" max="2572" width="11" style="85" customWidth="1"/>
    <col min="2573" max="2816" width="9.140625" style="85"/>
    <col min="2817" max="2817" width="4.140625" style="85" customWidth="1"/>
    <col min="2818" max="2818" width="27" style="85" customWidth="1"/>
    <col min="2819" max="2819" width="11.140625" style="85" customWidth="1"/>
    <col min="2820" max="2821" width="9.140625" style="85"/>
    <col min="2822" max="2822" width="10.28515625" style="85" customWidth="1"/>
    <col min="2823" max="2823" width="9.140625" style="85"/>
    <col min="2824" max="2824" width="9.28515625" style="85" customWidth="1"/>
    <col min="2825" max="2826" width="9.140625" style="85"/>
    <col min="2827" max="2827" width="12.28515625" style="85" customWidth="1"/>
    <col min="2828" max="2828" width="11" style="85" customWidth="1"/>
    <col min="2829" max="3072" width="9.140625" style="85"/>
    <col min="3073" max="3073" width="4.140625" style="85" customWidth="1"/>
    <col min="3074" max="3074" width="27" style="85" customWidth="1"/>
    <col min="3075" max="3075" width="11.140625" style="85" customWidth="1"/>
    <col min="3076" max="3077" width="9.140625" style="85"/>
    <col min="3078" max="3078" width="10.28515625" style="85" customWidth="1"/>
    <col min="3079" max="3079" width="9.140625" style="85"/>
    <col min="3080" max="3080" width="9.28515625" style="85" customWidth="1"/>
    <col min="3081" max="3082" width="9.140625" style="85"/>
    <col min="3083" max="3083" width="12.28515625" style="85" customWidth="1"/>
    <col min="3084" max="3084" width="11" style="85" customWidth="1"/>
    <col min="3085" max="3328" width="9.140625" style="85"/>
    <col min="3329" max="3329" width="4.140625" style="85" customWidth="1"/>
    <col min="3330" max="3330" width="27" style="85" customWidth="1"/>
    <col min="3331" max="3331" width="11.140625" style="85" customWidth="1"/>
    <col min="3332" max="3333" width="9.140625" style="85"/>
    <col min="3334" max="3334" width="10.28515625" style="85" customWidth="1"/>
    <col min="3335" max="3335" width="9.140625" style="85"/>
    <col min="3336" max="3336" width="9.28515625" style="85" customWidth="1"/>
    <col min="3337" max="3338" width="9.140625" style="85"/>
    <col min="3339" max="3339" width="12.28515625" style="85" customWidth="1"/>
    <col min="3340" max="3340" width="11" style="85" customWidth="1"/>
    <col min="3341" max="3584" width="9.140625" style="85"/>
    <col min="3585" max="3585" width="4.140625" style="85" customWidth="1"/>
    <col min="3586" max="3586" width="27" style="85" customWidth="1"/>
    <col min="3587" max="3587" width="11.140625" style="85" customWidth="1"/>
    <col min="3588" max="3589" width="9.140625" style="85"/>
    <col min="3590" max="3590" width="10.28515625" style="85" customWidth="1"/>
    <col min="3591" max="3591" width="9.140625" style="85"/>
    <col min="3592" max="3592" width="9.28515625" style="85" customWidth="1"/>
    <col min="3593" max="3594" width="9.140625" style="85"/>
    <col min="3595" max="3595" width="12.28515625" style="85" customWidth="1"/>
    <col min="3596" max="3596" width="11" style="85" customWidth="1"/>
    <col min="3597" max="3840" width="9.140625" style="85"/>
    <col min="3841" max="3841" width="4.140625" style="85" customWidth="1"/>
    <col min="3842" max="3842" width="27" style="85" customWidth="1"/>
    <col min="3843" max="3843" width="11.140625" style="85" customWidth="1"/>
    <col min="3844" max="3845" width="9.140625" style="85"/>
    <col min="3846" max="3846" width="10.28515625" style="85" customWidth="1"/>
    <col min="3847" max="3847" width="9.140625" style="85"/>
    <col min="3848" max="3848" width="9.28515625" style="85" customWidth="1"/>
    <col min="3849" max="3850" width="9.140625" style="85"/>
    <col min="3851" max="3851" width="12.28515625" style="85" customWidth="1"/>
    <col min="3852" max="3852" width="11" style="85" customWidth="1"/>
    <col min="3853" max="4096" width="9.140625" style="85"/>
    <col min="4097" max="4097" width="4.140625" style="85" customWidth="1"/>
    <col min="4098" max="4098" width="27" style="85" customWidth="1"/>
    <col min="4099" max="4099" width="11.140625" style="85" customWidth="1"/>
    <col min="4100" max="4101" width="9.140625" style="85"/>
    <col min="4102" max="4102" width="10.28515625" style="85" customWidth="1"/>
    <col min="4103" max="4103" width="9.140625" style="85"/>
    <col min="4104" max="4104" width="9.28515625" style="85" customWidth="1"/>
    <col min="4105" max="4106" width="9.140625" style="85"/>
    <col min="4107" max="4107" width="12.28515625" style="85" customWidth="1"/>
    <col min="4108" max="4108" width="11" style="85" customWidth="1"/>
    <col min="4109" max="4352" width="9.140625" style="85"/>
    <col min="4353" max="4353" width="4.140625" style="85" customWidth="1"/>
    <col min="4354" max="4354" width="27" style="85" customWidth="1"/>
    <col min="4355" max="4355" width="11.140625" style="85" customWidth="1"/>
    <col min="4356" max="4357" width="9.140625" style="85"/>
    <col min="4358" max="4358" width="10.28515625" style="85" customWidth="1"/>
    <col min="4359" max="4359" width="9.140625" style="85"/>
    <col min="4360" max="4360" width="9.28515625" style="85" customWidth="1"/>
    <col min="4361" max="4362" width="9.140625" style="85"/>
    <col min="4363" max="4363" width="12.28515625" style="85" customWidth="1"/>
    <col min="4364" max="4364" width="11" style="85" customWidth="1"/>
    <col min="4365" max="4608" width="9.140625" style="85"/>
    <col min="4609" max="4609" width="4.140625" style="85" customWidth="1"/>
    <col min="4610" max="4610" width="27" style="85" customWidth="1"/>
    <col min="4611" max="4611" width="11.140625" style="85" customWidth="1"/>
    <col min="4612" max="4613" width="9.140625" style="85"/>
    <col min="4614" max="4614" width="10.28515625" style="85" customWidth="1"/>
    <col min="4615" max="4615" width="9.140625" style="85"/>
    <col min="4616" max="4616" width="9.28515625" style="85" customWidth="1"/>
    <col min="4617" max="4618" width="9.140625" style="85"/>
    <col min="4619" max="4619" width="12.28515625" style="85" customWidth="1"/>
    <col min="4620" max="4620" width="11" style="85" customWidth="1"/>
    <col min="4621" max="4864" width="9.140625" style="85"/>
    <col min="4865" max="4865" width="4.140625" style="85" customWidth="1"/>
    <col min="4866" max="4866" width="27" style="85" customWidth="1"/>
    <col min="4867" max="4867" width="11.140625" style="85" customWidth="1"/>
    <col min="4868" max="4869" width="9.140625" style="85"/>
    <col min="4870" max="4870" width="10.28515625" style="85" customWidth="1"/>
    <col min="4871" max="4871" width="9.140625" style="85"/>
    <col min="4872" max="4872" width="9.28515625" style="85" customWidth="1"/>
    <col min="4873" max="4874" width="9.140625" style="85"/>
    <col min="4875" max="4875" width="12.28515625" style="85" customWidth="1"/>
    <col min="4876" max="4876" width="11" style="85" customWidth="1"/>
    <col min="4877" max="5120" width="9.140625" style="85"/>
    <col min="5121" max="5121" width="4.140625" style="85" customWidth="1"/>
    <col min="5122" max="5122" width="27" style="85" customWidth="1"/>
    <col min="5123" max="5123" width="11.140625" style="85" customWidth="1"/>
    <col min="5124" max="5125" width="9.140625" style="85"/>
    <col min="5126" max="5126" width="10.28515625" style="85" customWidth="1"/>
    <col min="5127" max="5127" width="9.140625" style="85"/>
    <col min="5128" max="5128" width="9.28515625" style="85" customWidth="1"/>
    <col min="5129" max="5130" width="9.140625" style="85"/>
    <col min="5131" max="5131" width="12.28515625" style="85" customWidth="1"/>
    <col min="5132" max="5132" width="11" style="85" customWidth="1"/>
    <col min="5133" max="5376" width="9.140625" style="85"/>
    <col min="5377" max="5377" width="4.140625" style="85" customWidth="1"/>
    <col min="5378" max="5378" width="27" style="85" customWidth="1"/>
    <col min="5379" max="5379" width="11.140625" style="85" customWidth="1"/>
    <col min="5380" max="5381" width="9.140625" style="85"/>
    <col min="5382" max="5382" width="10.28515625" style="85" customWidth="1"/>
    <col min="5383" max="5383" width="9.140625" style="85"/>
    <col min="5384" max="5384" width="9.28515625" style="85" customWidth="1"/>
    <col min="5385" max="5386" width="9.140625" style="85"/>
    <col min="5387" max="5387" width="12.28515625" style="85" customWidth="1"/>
    <col min="5388" max="5388" width="11" style="85" customWidth="1"/>
    <col min="5389" max="5632" width="9.140625" style="85"/>
    <col min="5633" max="5633" width="4.140625" style="85" customWidth="1"/>
    <col min="5634" max="5634" width="27" style="85" customWidth="1"/>
    <col min="5635" max="5635" width="11.140625" style="85" customWidth="1"/>
    <col min="5636" max="5637" width="9.140625" style="85"/>
    <col min="5638" max="5638" width="10.28515625" style="85" customWidth="1"/>
    <col min="5639" max="5639" width="9.140625" style="85"/>
    <col min="5640" max="5640" width="9.28515625" style="85" customWidth="1"/>
    <col min="5641" max="5642" width="9.140625" style="85"/>
    <col min="5643" max="5643" width="12.28515625" style="85" customWidth="1"/>
    <col min="5644" max="5644" width="11" style="85" customWidth="1"/>
    <col min="5645" max="5888" width="9.140625" style="85"/>
    <col min="5889" max="5889" width="4.140625" style="85" customWidth="1"/>
    <col min="5890" max="5890" width="27" style="85" customWidth="1"/>
    <col min="5891" max="5891" width="11.140625" style="85" customWidth="1"/>
    <col min="5892" max="5893" width="9.140625" style="85"/>
    <col min="5894" max="5894" width="10.28515625" style="85" customWidth="1"/>
    <col min="5895" max="5895" width="9.140625" style="85"/>
    <col min="5896" max="5896" width="9.28515625" style="85" customWidth="1"/>
    <col min="5897" max="5898" width="9.140625" style="85"/>
    <col min="5899" max="5899" width="12.28515625" style="85" customWidth="1"/>
    <col min="5900" max="5900" width="11" style="85" customWidth="1"/>
    <col min="5901" max="6144" width="9.140625" style="85"/>
    <col min="6145" max="6145" width="4.140625" style="85" customWidth="1"/>
    <col min="6146" max="6146" width="27" style="85" customWidth="1"/>
    <col min="6147" max="6147" width="11.140625" style="85" customWidth="1"/>
    <col min="6148" max="6149" width="9.140625" style="85"/>
    <col min="6150" max="6150" width="10.28515625" style="85" customWidth="1"/>
    <col min="6151" max="6151" width="9.140625" style="85"/>
    <col min="6152" max="6152" width="9.28515625" style="85" customWidth="1"/>
    <col min="6153" max="6154" width="9.140625" style="85"/>
    <col min="6155" max="6155" width="12.28515625" style="85" customWidth="1"/>
    <col min="6156" max="6156" width="11" style="85" customWidth="1"/>
    <col min="6157" max="6400" width="9.140625" style="85"/>
    <col min="6401" max="6401" width="4.140625" style="85" customWidth="1"/>
    <col min="6402" max="6402" width="27" style="85" customWidth="1"/>
    <col min="6403" max="6403" width="11.140625" style="85" customWidth="1"/>
    <col min="6404" max="6405" width="9.140625" style="85"/>
    <col min="6406" max="6406" width="10.28515625" style="85" customWidth="1"/>
    <col min="6407" max="6407" width="9.140625" style="85"/>
    <col min="6408" max="6408" width="9.28515625" style="85" customWidth="1"/>
    <col min="6409" max="6410" width="9.140625" style="85"/>
    <col min="6411" max="6411" width="12.28515625" style="85" customWidth="1"/>
    <col min="6412" max="6412" width="11" style="85" customWidth="1"/>
    <col min="6413" max="6656" width="9.140625" style="85"/>
    <col min="6657" max="6657" width="4.140625" style="85" customWidth="1"/>
    <col min="6658" max="6658" width="27" style="85" customWidth="1"/>
    <col min="6659" max="6659" width="11.140625" style="85" customWidth="1"/>
    <col min="6660" max="6661" width="9.140625" style="85"/>
    <col min="6662" max="6662" width="10.28515625" style="85" customWidth="1"/>
    <col min="6663" max="6663" width="9.140625" style="85"/>
    <col min="6664" max="6664" width="9.28515625" style="85" customWidth="1"/>
    <col min="6665" max="6666" width="9.140625" style="85"/>
    <col min="6667" max="6667" width="12.28515625" style="85" customWidth="1"/>
    <col min="6668" max="6668" width="11" style="85" customWidth="1"/>
    <col min="6669" max="6912" width="9.140625" style="85"/>
    <col min="6913" max="6913" width="4.140625" style="85" customWidth="1"/>
    <col min="6914" max="6914" width="27" style="85" customWidth="1"/>
    <col min="6915" max="6915" width="11.140625" style="85" customWidth="1"/>
    <col min="6916" max="6917" width="9.140625" style="85"/>
    <col min="6918" max="6918" width="10.28515625" style="85" customWidth="1"/>
    <col min="6919" max="6919" width="9.140625" style="85"/>
    <col min="6920" max="6920" width="9.28515625" style="85" customWidth="1"/>
    <col min="6921" max="6922" width="9.140625" style="85"/>
    <col min="6923" max="6923" width="12.28515625" style="85" customWidth="1"/>
    <col min="6924" max="6924" width="11" style="85" customWidth="1"/>
    <col min="6925" max="7168" width="9.140625" style="85"/>
    <col min="7169" max="7169" width="4.140625" style="85" customWidth="1"/>
    <col min="7170" max="7170" width="27" style="85" customWidth="1"/>
    <col min="7171" max="7171" width="11.140625" style="85" customWidth="1"/>
    <col min="7172" max="7173" width="9.140625" style="85"/>
    <col min="7174" max="7174" width="10.28515625" style="85" customWidth="1"/>
    <col min="7175" max="7175" width="9.140625" style="85"/>
    <col min="7176" max="7176" width="9.28515625" style="85" customWidth="1"/>
    <col min="7177" max="7178" width="9.140625" style="85"/>
    <col min="7179" max="7179" width="12.28515625" style="85" customWidth="1"/>
    <col min="7180" max="7180" width="11" style="85" customWidth="1"/>
    <col min="7181" max="7424" width="9.140625" style="85"/>
    <col min="7425" max="7425" width="4.140625" style="85" customWidth="1"/>
    <col min="7426" max="7426" width="27" style="85" customWidth="1"/>
    <col min="7427" max="7427" width="11.140625" style="85" customWidth="1"/>
    <col min="7428" max="7429" width="9.140625" style="85"/>
    <col min="7430" max="7430" width="10.28515625" style="85" customWidth="1"/>
    <col min="7431" max="7431" width="9.140625" style="85"/>
    <col min="7432" max="7432" width="9.28515625" style="85" customWidth="1"/>
    <col min="7433" max="7434" width="9.140625" style="85"/>
    <col min="7435" max="7435" width="12.28515625" style="85" customWidth="1"/>
    <col min="7436" max="7436" width="11" style="85" customWidth="1"/>
    <col min="7437" max="7680" width="9.140625" style="85"/>
    <col min="7681" max="7681" width="4.140625" style="85" customWidth="1"/>
    <col min="7682" max="7682" width="27" style="85" customWidth="1"/>
    <col min="7683" max="7683" width="11.140625" style="85" customWidth="1"/>
    <col min="7684" max="7685" width="9.140625" style="85"/>
    <col min="7686" max="7686" width="10.28515625" style="85" customWidth="1"/>
    <col min="7687" max="7687" width="9.140625" style="85"/>
    <col min="7688" max="7688" width="9.28515625" style="85" customWidth="1"/>
    <col min="7689" max="7690" width="9.140625" style="85"/>
    <col min="7691" max="7691" width="12.28515625" style="85" customWidth="1"/>
    <col min="7692" max="7692" width="11" style="85" customWidth="1"/>
    <col min="7693" max="7936" width="9.140625" style="85"/>
    <col min="7937" max="7937" width="4.140625" style="85" customWidth="1"/>
    <col min="7938" max="7938" width="27" style="85" customWidth="1"/>
    <col min="7939" max="7939" width="11.140625" style="85" customWidth="1"/>
    <col min="7940" max="7941" width="9.140625" style="85"/>
    <col min="7942" max="7942" width="10.28515625" style="85" customWidth="1"/>
    <col min="7943" max="7943" width="9.140625" style="85"/>
    <col min="7944" max="7944" width="9.28515625" style="85" customWidth="1"/>
    <col min="7945" max="7946" width="9.140625" style="85"/>
    <col min="7947" max="7947" width="12.28515625" style="85" customWidth="1"/>
    <col min="7948" max="7948" width="11" style="85" customWidth="1"/>
    <col min="7949" max="8192" width="9.140625" style="85"/>
    <col min="8193" max="8193" width="4.140625" style="85" customWidth="1"/>
    <col min="8194" max="8194" width="27" style="85" customWidth="1"/>
    <col min="8195" max="8195" width="11.140625" style="85" customWidth="1"/>
    <col min="8196" max="8197" width="9.140625" style="85"/>
    <col min="8198" max="8198" width="10.28515625" style="85" customWidth="1"/>
    <col min="8199" max="8199" width="9.140625" style="85"/>
    <col min="8200" max="8200" width="9.28515625" style="85" customWidth="1"/>
    <col min="8201" max="8202" width="9.140625" style="85"/>
    <col min="8203" max="8203" width="12.28515625" style="85" customWidth="1"/>
    <col min="8204" max="8204" width="11" style="85" customWidth="1"/>
    <col min="8205" max="8448" width="9.140625" style="85"/>
    <col min="8449" max="8449" width="4.140625" style="85" customWidth="1"/>
    <col min="8450" max="8450" width="27" style="85" customWidth="1"/>
    <col min="8451" max="8451" width="11.140625" style="85" customWidth="1"/>
    <col min="8452" max="8453" width="9.140625" style="85"/>
    <col min="8454" max="8454" width="10.28515625" style="85" customWidth="1"/>
    <col min="8455" max="8455" width="9.140625" style="85"/>
    <col min="8456" max="8456" width="9.28515625" style="85" customWidth="1"/>
    <col min="8457" max="8458" width="9.140625" style="85"/>
    <col min="8459" max="8459" width="12.28515625" style="85" customWidth="1"/>
    <col min="8460" max="8460" width="11" style="85" customWidth="1"/>
    <col min="8461" max="8704" width="9.140625" style="85"/>
    <col min="8705" max="8705" width="4.140625" style="85" customWidth="1"/>
    <col min="8706" max="8706" width="27" style="85" customWidth="1"/>
    <col min="8707" max="8707" width="11.140625" style="85" customWidth="1"/>
    <col min="8708" max="8709" width="9.140625" style="85"/>
    <col min="8710" max="8710" width="10.28515625" style="85" customWidth="1"/>
    <col min="8711" max="8711" width="9.140625" style="85"/>
    <col min="8712" max="8712" width="9.28515625" style="85" customWidth="1"/>
    <col min="8713" max="8714" width="9.140625" style="85"/>
    <col min="8715" max="8715" width="12.28515625" style="85" customWidth="1"/>
    <col min="8716" max="8716" width="11" style="85" customWidth="1"/>
    <col min="8717" max="8960" width="9.140625" style="85"/>
    <col min="8961" max="8961" width="4.140625" style="85" customWidth="1"/>
    <col min="8962" max="8962" width="27" style="85" customWidth="1"/>
    <col min="8963" max="8963" width="11.140625" style="85" customWidth="1"/>
    <col min="8964" max="8965" width="9.140625" style="85"/>
    <col min="8966" max="8966" width="10.28515625" style="85" customWidth="1"/>
    <col min="8967" max="8967" width="9.140625" style="85"/>
    <col min="8968" max="8968" width="9.28515625" style="85" customWidth="1"/>
    <col min="8969" max="8970" width="9.140625" style="85"/>
    <col min="8971" max="8971" width="12.28515625" style="85" customWidth="1"/>
    <col min="8972" max="8972" width="11" style="85" customWidth="1"/>
    <col min="8973" max="9216" width="9.140625" style="85"/>
    <col min="9217" max="9217" width="4.140625" style="85" customWidth="1"/>
    <col min="9218" max="9218" width="27" style="85" customWidth="1"/>
    <col min="9219" max="9219" width="11.140625" style="85" customWidth="1"/>
    <col min="9220" max="9221" width="9.140625" style="85"/>
    <col min="9222" max="9222" width="10.28515625" style="85" customWidth="1"/>
    <col min="9223" max="9223" width="9.140625" style="85"/>
    <col min="9224" max="9224" width="9.28515625" style="85" customWidth="1"/>
    <col min="9225" max="9226" width="9.140625" style="85"/>
    <col min="9227" max="9227" width="12.28515625" style="85" customWidth="1"/>
    <col min="9228" max="9228" width="11" style="85" customWidth="1"/>
    <col min="9229" max="9472" width="9.140625" style="85"/>
    <col min="9473" max="9473" width="4.140625" style="85" customWidth="1"/>
    <col min="9474" max="9474" width="27" style="85" customWidth="1"/>
    <col min="9475" max="9475" width="11.140625" style="85" customWidth="1"/>
    <col min="9476" max="9477" width="9.140625" style="85"/>
    <col min="9478" max="9478" width="10.28515625" style="85" customWidth="1"/>
    <col min="9479" max="9479" width="9.140625" style="85"/>
    <col min="9480" max="9480" width="9.28515625" style="85" customWidth="1"/>
    <col min="9481" max="9482" width="9.140625" style="85"/>
    <col min="9483" max="9483" width="12.28515625" style="85" customWidth="1"/>
    <col min="9484" max="9484" width="11" style="85" customWidth="1"/>
    <col min="9485" max="9728" width="9.140625" style="85"/>
    <col min="9729" max="9729" width="4.140625" style="85" customWidth="1"/>
    <col min="9730" max="9730" width="27" style="85" customWidth="1"/>
    <col min="9731" max="9731" width="11.140625" style="85" customWidth="1"/>
    <col min="9732" max="9733" width="9.140625" style="85"/>
    <col min="9734" max="9734" width="10.28515625" style="85" customWidth="1"/>
    <col min="9735" max="9735" width="9.140625" style="85"/>
    <col min="9736" max="9736" width="9.28515625" style="85" customWidth="1"/>
    <col min="9737" max="9738" width="9.140625" style="85"/>
    <col min="9739" max="9739" width="12.28515625" style="85" customWidth="1"/>
    <col min="9740" max="9740" width="11" style="85" customWidth="1"/>
    <col min="9741" max="9984" width="9.140625" style="85"/>
    <col min="9985" max="9985" width="4.140625" style="85" customWidth="1"/>
    <col min="9986" max="9986" width="27" style="85" customWidth="1"/>
    <col min="9987" max="9987" width="11.140625" style="85" customWidth="1"/>
    <col min="9988" max="9989" width="9.140625" style="85"/>
    <col min="9990" max="9990" width="10.28515625" style="85" customWidth="1"/>
    <col min="9991" max="9991" width="9.140625" style="85"/>
    <col min="9992" max="9992" width="9.28515625" style="85" customWidth="1"/>
    <col min="9993" max="9994" width="9.140625" style="85"/>
    <col min="9995" max="9995" width="12.28515625" style="85" customWidth="1"/>
    <col min="9996" max="9996" width="11" style="85" customWidth="1"/>
    <col min="9997" max="10240" width="9.140625" style="85"/>
    <col min="10241" max="10241" width="4.140625" style="85" customWidth="1"/>
    <col min="10242" max="10242" width="27" style="85" customWidth="1"/>
    <col min="10243" max="10243" width="11.140625" style="85" customWidth="1"/>
    <col min="10244" max="10245" width="9.140625" style="85"/>
    <col min="10246" max="10246" width="10.28515625" style="85" customWidth="1"/>
    <col min="10247" max="10247" width="9.140625" style="85"/>
    <col min="10248" max="10248" width="9.28515625" style="85" customWidth="1"/>
    <col min="10249" max="10250" width="9.140625" style="85"/>
    <col min="10251" max="10251" width="12.28515625" style="85" customWidth="1"/>
    <col min="10252" max="10252" width="11" style="85" customWidth="1"/>
    <col min="10253" max="10496" width="9.140625" style="85"/>
    <col min="10497" max="10497" width="4.140625" style="85" customWidth="1"/>
    <col min="10498" max="10498" width="27" style="85" customWidth="1"/>
    <col min="10499" max="10499" width="11.140625" style="85" customWidth="1"/>
    <col min="10500" max="10501" width="9.140625" style="85"/>
    <col min="10502" max="10502" width="10.28515625" style="85" customWidth="1"/>
    <col min="10503" max="10503" width="9.140625" style="85"/>
    <col min="10504" max="10504" width="9.28515625" style="85" customWidth="1"/>
    <col min="10505" max="10506" width="9.140625" style="85"/>
    <col min="10507" max="10507" width="12.28515625" style="85" customWidth="1"/>
    <col min="10508" max="10508" width="11" style="85" customWidth="1"/>
    <col min="10509" max="10752" width="9.140625" style="85"/>
    <col min="10753" max="10753" width="4.140625" style="85" customWidth="1"/>
    <col min="10754" max="10754" width="27" style="85" customWidth="1"/>
    <col min="10755" max="10755" width="11.140625" style="85" customWidth="1"/>
    <col min="10756" max="10757" width="9.140625" style="85"/>
    <col min="10758" max="10758" width="10.28515625" style="85" customWidth="1"/>
    <col min="10759" max="10759" width="9.140625" style="85"/>
    <col min="10760" max="10760" width="9.28515625" style="85" customWidth="1"/>
    <col min="10761" max="10762" width="9.140625" style="85"/>
    <col min="10763" max="10763" width="12.28515625" style="85" customWidth="1"/>
    <col min="10764" max="10764" width="11" style="85" customWidth="1"/>
    <col min="10765" max="11008" width="9.140625" style="85"/>
    <col min="11009" max="11009" width="4.140625" style="85" customWidth="1"/>
    <col min="11010" max="11010" width="27" style="85" customWidth="1"/>
    <col min="11011" max="11011" width="11.140625" style="85" customWidth="1"/>
    <col min="11012" max="11013" width="9.140625" style="85"/>
    <col min="11014" max="11014" width="10.28515625" style="85" customWidth="1"/>
    <col min="11015" max="11015" width="9.140625" style="85"/>
    <col min="11016" max="11016" width="9.28515625" style="85" customWidth="1"/>
    <col min="11017" max="11018" width="9.140625" style="85"/>
    <col min="11019" max="11019" width="12.28515625" style="85" customWidth="1"/>
    <col min="11020" max="11020" width="11" style="85" customWidth="1"/>
    <col min="11021" max="11264" width="9.140625" style="85"/>
    <col min="11265" max="11265" width="4.140625" style="85" customWidth="1"/>
    <col min="11266" max="11266" width="27" style="85" customWidth="1"/>
    <col min="11267" max="11267" width="11.140625" style="85" customWidth="1"/>
    <col min="11268" max="11269" width="9.140625" style="85"/>
    <col min="11270" max="11270" width="10.28515625" style="85" customWidth="1"/>
    <col min="11271" max="11271" width="9.140625" style="85"/>
    <col min="11272" max="11272" width="9.28515625" style="85" customWidth="1"/>
    <col min="11273" max="11274" width="9.140625" style="85"/>
    <col min="11275" max="11275" width="12.28515625" style="85" customWidth="1"/>
    <col min="11276" max="11276" width="11" style="85" customWidth="1"/>
    <col min="11277" max="11520" width="9.140625" style="85"/>
    <col min="11521" max="11521" width="4.140625" style="85" customWidth="1"/>
    <col min="11522" max="11522" width="27" style="85" customWidth="1"/>
    <col min="11523" max="11523" width="11.140625" style="85" customWidth="1"/>
    <col min="11524" max="11525" width="9.140625" style="85"/>
    <col min="11526" max="11526" width="10.28515625" style="85" customWidth="1"/>
    <col min="11527" max="11527" width="9.140625" style="85"/>
    <col min="11528" max="11528" width="9.28515625" style="85" customWidth="1"/>
    <col min="11529" max="11530" width="9.140625" style="85"/>
    <col min="11531" max="11531" width="12.28515625" style="85" customWidth="1"/>
    <col min="11532" max="11532" width="11" style="85" customWidth="1"/>
    <col min="11533" max="11776" width="9.140625" style="85"/>
    <col min="11777" max="11777" width="4.140625" style="85" customWidth="1"/>
    <col min="11778" max="11778" width="27" style="85" customWidth="1"/>
    <col min="11779" max="11779" width="11.140625" style="85" customWidth="1"/>
    <col min="11780" max="11781" width="9.140625" style="85"/>
    <col min="11782" max="11782" width="10.28515625" style="85" customWidth="1"/>
    <col min="11783" max="11783" width="9.140625" style="85"/>
    <col min="11784" max="11784" width="9.28515625" style="85" customWidth="1"/>
    <col min="11785" max="11786" width="9.140625" style="85"/>
    <col min="11787" max="11787" width="12.28515625" style="85" customWidth="1"/>
    <col min="11788" max="11788" width="11" style="85" customWidth="1"/>
    <col min="11789" max="12032" width="9.140625" style="85"/>
    <col min="12033" max="12033" width="4.140625" style="85" customWidth="1"/>
    <col min="12034" max="12034" width="27" style="85" customWidth="1"/>
    <col min="12035" max="12035" width="11.140625" style="85" customWidth="1"/>
    <col min="12036" max="12037" width="9.140625" style="85"/>
    <col min="12038" max="12038" width="10.28515625" style="85" customWidth="1"/>
    <col min="12039" max="12039" width="9.140625" style="85"/>
    <col min="12040" max="12040" width="9.28515625" style="85" customWidth="1"/>
    <col min="12041" max="12042" width="9.140625" style="85"/>
    <col min="12043" max="12043" width="12.28515625" style="85" customWidth="1"/>
    <col min="12044" max="12044" width="11" style="85" customWidth="1"/>
    <col min="12045" max="12288" width="9.140625" style="85"/>
    <col min="12289" max="12289" width="4.140625" style="85" customWidth="1"/>
    <col min="12290" max="12290" width="27" style="85" customWidth="1"/>
    <col min="12291" max="12291" width="11.140625" style="85" customWidth="1"/>
    <col min="12292" max="12293" width="9.140625" style="85"/>
    <col min="12294" max="12294" width="10.28515625" style="85" customWidth="1"/>
    <col min="12295" max="12295" width="9.140625" style="85"/>
    <col min="12296" max="12296" width="9.28515625" style="85" customWidth="1"/>
    <col min="12297" max="12298" width="9.140625" style="85"/>
    <col min="12299" max="12299" width="12.28515625" style="85" customWidth="1"/>
    <col min="12300" max="12300" width="11" style="85" customWidth="1"/>
    <col min="12301" max="12544" width="9.140625" style="85"/>
    <col min="12545" max="12545" width="4.140625" style="85" customWidth="1"/>
    <col min="12546" max="12546" width="27" style="85" customWidth="1"/>
    <col min="12547" max="12547" width="11.140625" style="85" customWidth="1"/>
    <col min="12548" max="12549" width="9.140625" style="85"/>
    <col min="12550" max="12550" width="10.28515625" style="85" customWidth="1"/>
    <col min="12551" max="12551" width="9.140625" style="85"/>
    <col min="12552" max="12552" width="9.28515625" style="85" customWidth="1"/>
    <col min="12553" max="12554" width="9.140625" style="85"/>
    <col min="12555" max="12555" width="12.28515625" style="85" customWidth="1"/>
    <col min="12556" max="12556" width="11" style="85" customWidth="1"/>
    <col min="12557" max="12800" width="9.140625" style="85"/>
    <col min="12801" max="12801" width="4.140625" style="85" customWidth="1"/>
    <col min="12802" max="12802" width="27" style="85" customWidth="1"/>
    <col min="12803" max="12803" width="11.140625" style="85" customWidth="1"/>
    <col min="12804" max="12805" width="9.140625" style="85"/>
    <col min="12806" max="12806" width="10.28515625" style="85" customWidth="1"/>
    <col min="12807" max="12807" width="9.140625" style="85"/>
    <col min="12808" max="12808" width="9.28515625" style="85" customWidth="1"/>
    <col min="12809" max="12810" width="9.140625" style="85"/>
    <col min="12811" max="12811" width="12.28515625" style="85" customWidth="1"/>
    <col min="12812" max="12812" width="11" style="85" customWidth="1"/>
    <col min="12813" max="13056" width="9.140625" style="85"/>
    <col min="13057" max="13057" width="4.140625" style="85" customWidth="1"/>
    <col min="13058" max="13058" width="27" style="85" customWidth="1"/>
    <col min="13059" max="13059" width="11.140625" style="85" customWidth="1"/>
    <col min="13060" max="13061" width="9.140625" style="85"/>
    <col min="13062" max="13062" width="10.28515625" style="85" customWidth="1"/>
    <col min="13063" max="13063" width="9.140625" style="85"/>
    <col min="13064" max="13064" width="9.28515625" style="85" customWidth="1"/>
    <col min="13065" max="13066" width="9.140625" style="85"/>
    <col min="13067" max="13067" width="12.28515625" style="85" customWidth="1"/>
    <col min="13068" max="13068" width="11" style="85" customWidth="1"/>
    <col min="13069" max="13312" width="9.140625" style="85"/>
    <col min="13313" max="13313" width="4.140625" style="85" customWidth="1"/>
    <col min="13314" max="13314" width="27" style="85" customWidth="1"/>
    <col min="13315" max="13315" width="11.140625" style="85" customWidth="1"/>
    <col min="13316" max="13317" width="9.140625" style="85"/>
    <col min="13318" max="13318" width="10.28515625" style="85" customWidth="1"/>
    <col min="13319" max="13319" width="9.140625" style="85"/>
    <col min="13320" max="13320" width="9.28515625" style="85" customWidth="1"/>
    <col min="13321" max="13322" width="9.140625" style="85"/>
    <col min="13323" max="13323" width="12.28515625" style="85" customWidth="1"/>
    <col min="13324" max="13324" width="11" style="85" customWidth="1"/>
    <col min="13325" max="13568" width="9.140625" style="85"/>
    <col min="13569" max="13569" width="4.140625" style="85" customWidth="1"/>
    <col min="13570" max="13570" width="27" style="85" customWidth="1"/>
    <col min="13571" max="13571" width="11.140625" style="85" customWidth="1"/>
    <col min="13572" max="13573" width="9.140625" style="85"/>
    <col min="13574" max="13574" width="10.28515625" style="85" customWidth="1"/>
    <col min="13575" max="13575" width="9.140625" style="85"/>
    <col min="13576" max="13576" width="9.28515625" style="85" customWidth="1"/>
    <col min="13577" max="13578" width="9.140625" style="85"/>
    <col min="13579" max="13579" width="12.28515625" style="85" customWidth="1"/>
    <col min="13580" max="13580" width="11" style="85" customWidth="1"/>
    <col min="13581" max="13824" width="9.140625" style="85"/>
    <col min="13825" max="13825" width="4.140625" style="85" customWidth="1"/>
    <col min="13826" max="13826" width="27" style="85" customWidth="1"/>
    <col min="13827" max="13827" width="11.140625" style="85" customWidth="1"/>
    <col min="13828" max="13829" width="9.140625" style="85"/>
    <col min="13830" max="13830" width="10.28515625" style="85" customWidth="1"/>
    <col min="13831" max="13831" width="9.140625" style="85"/>
    <col min="13832" max="13832" width="9.28515625" style="85" customWidth="1"/>
    <col min="13833" max="13834" width="9.140625" style="85"/>
    <col min="13835" max="13835" width="12.28515625" style="85" customWidth="1"/>
    <col min="13836" max="13836" width="11" style="85" customWidth="1"/>
    <col min="13837" max="14080" width="9.140625" style="85"/>
    <col min="14081" max="14081" width="4.140625" style="85" customWidth="1"/>
    <col min="14082" max="14082" width="27" style="85" customWidth="1"/>
    <col min="14083" max="14083" width="11.140625" style="85" customWidth="1"/>
    <col min="14084" max="14085" width="9.140625" style="85"/>
    <col min="14086" max="14086" width="10.28515625" style="85" customWidth="1"/>
    <col min="14087" max="14087" width="9.140625" style="85"/>
    <col min="14088" max="14088" width="9.28515625" style="85" customWidth="1"/>
    <col min="14089" max="14090" width="9.140625" style="85"/>
    <col min="14091" max="14091" width="12.28515625" style="85" customWidth="1"/>
    <col min="14092" max="14092" width="11" style="85" customWidth="1"/>
    <col min="14093" max="14336" width="9.140625" style="85"/>
    <col min="14337" max="14337" width="4.140625" style="85" customWidth="1"/>
    <col min="14338" max="14338" width="27" style="85" customWidth="1"/>
    <col min="14339" max="14339" width="11.140625" style="85" customWidth="1"/>
    <col min="14340" max="14341" width="9.140625" style="85"/>
    <col min="14342" max="14342" width="10.28515625" style="85" customWidth="1"/>
    <col min="14343" max="14343" width="9.140625" style="85"/>
    <col min="14344" max="14344" width="9.28515625" style="85" customWidth="1"/>
    <col min="14345" max="14346" width="9.140625" style="85"/>
    <col min="14347" max="14347" width="12.28515625" style="85" customWidth="1"/>
    <col min="14348" max="14348" width="11" style="85" customWidth="1"/>
    <col min="14349" max="14592" width="9.140625" style="85"/>
    <col min="14593" max="14593" width="4.140625" style="85" customWidth="1"/>
    <col min="14594" max="14594" width="27" style="85" customWidth="1"/>
    <col min="14595" max="14595" width="11.140625" style="85" customWidth="1"/>
    <col min="14596" max="14597" width="9.140625" style="85"/>
    <col min="14598" max="14598" width="10.28515625" style="85" customWidth="1"/>
    <col min="14599" max="14599" width="9.140625" style="85"/>
    <col min="14600" max="14600" width="9.28515625" style="85" customWidth="1"/>
    <col min="14601" max="14602" width="9.140625" style="85"/>
    <col min="14603" max="14603" width="12.28515625" style="85" customWidth="1"/>
    <col min="14604" max="14604" width="11" style="85" customWidth="1"/>
    <col min="14605" max="14848" width="9.140625" style="85"/>
    <col min="14849" max="14849" width="4.140625" style="85" customWidth="1"/>
    <col min="14850" max="14850" width="27" style="85" customWidth="1"/>
    <col min="14851" max="14851" width="11.140625" style="85" customWidth="1"/>
    <col min="14852" max="14853" width="9.140625" style="85"/>
    <col min="14854" max="14854" width="10.28515625" style="85" customWidth="1"/>
    <col min="14855" max="14855" width="9.140625" style="85"/>
    <col min="14856" max="14856" width="9.28515625" style="85" customWidth="1"/>
    <col min="14857" max="14858" width="9.140625" style="85"/>
    <col min="14859" max="14859" width="12.28515625" style="85" customWidth="1"/>
    <col min="14860" max="14860" width="11" style="85" customWidth="1"/>
    <col min="14861" max="15104" width="9.140625" style="85"/>
    <col min="15105" max="15105" width="4.140625" style="85" customWidth="1"/>
    <col min="15106" max="15106" width="27" style="85" customWidth="1"/>
    <col min="15107" max="15107" width="11.140625" style="85" customWidth="1"/>
    <col min="15108" max="15109" width="9.140625" style="85"/>
    <col min="15110" max="15110" width="10.28515625" style="85" customWidth="1"/>
    <col min="15111" max="15111" width="9.140625" style="85"/>
    <col min="15112" max="15112" width="9.28515625" style="85" customWidth="1"/>
    <col min="15113" max="15114" width="9.140625" style="85"/>
    <col min="15115" max="15115" width="12.28515625" style="85" customWidth="1"/>
    <col min="15116" max="15116" width="11" style="85" customWidth="1"/>
    <col min="15117" max="15360" width="9.140625" style="85"/>
    <col min="15361" max="15361" width="4.140625" style="85" customWidth="1"/>
    <col min="15362" max="15362" width="27" style="85" customWidth="1"/>
    <col min="15363" max="15363" width="11.140625" style="85" customWidth="1"/>
    <col min="15364" max="15365" width="9.140625" style="85"/>
    <col min="15366" max="15366" width="10.28515625" style="85" customWidth="1"/>
    <col min="15367" max="15367" width="9.140625" style="85"/>
    <col min="15368" max="15368" width="9.28515625" style="85" customWidth="1"/>
    <col min="15369" max="15370" width="9.140625" style="85"/>
    <col min="15371" max="15371" width="12.28515625" style="85" customWidth="1"/>
    <col min="15372" max="15372" width="11" style="85" customWidth="1"/>
    <col min="15373" max="15616" width="9.140625" style="85"/>
    <col min="15617" max="15617" width="4.140625" style="85" customWidth="1"/>
    <col min="15618" max="15618" width="27" style="85" customWidth="1"/>
    <col min="15619" max="15619" width="11.140625" style="85" customWidth="1"/>
    <col min="15620" max="15621" width="9.140625" style="85"/>
    <col min="15622" max="15622" width="10.28515625" style="85" customWidth="1"/>
    <col min="15623" max="15623" width="9.140625" style="85"/>
    <col min="15624" max="15624" width="9.28515625" style="85" customWidth="1"/>
    <col min="15625" max="15626" width="9.140625" style="85"/>
    <col min="15627" max="15627" width="12.28515625" style="85" customWidth="1"/>
    <col min="15628" max="15628" width="11" style="85" customWidth="1"/>
    <col min="15629" max="15872" width="9.140625" style="85"/>
    <col min="15873" max="15873" width="4.140625" style="85" customWidth="1"/>
    <col min="15874" max="15874" width="27" style="85" customWidth="1"/>
    <col min="15875" max="15875" width="11.140625" style="85" customWidth="1"/>
    <col min="15876" max="15877" width="9.140625" style="85"/>
    <col min="15878" max="15878" width="10.28515625" style="85" customWidth="1"/>
    <col min="15879" max="15879" width="9.140625" style="85"/>
    <col min="15880" max="15880" width="9.28515625" style="85" customWidth="1"/>
    <col min="15881" max="15882" width="9.140625" style="85"/>
    <col min="15883" max="15883" width="12.28515625" style="85" customWidth="1"/>
    <col min="15884" max="15884" width="11" style="85" customWidth="1"/>
    <col min="15885" max="16128" width="9.140625" style="85"/>
    <col min="16129" max="16129" width="4.140625" style="85" customWidth="1"/>
    <col min="16130" max="16130" width="27" style="85" customWidth="1"/>
    <col min="16131" max="16131" width="11.140625" style="85" customWidth="1"/>
    <col min="16132" max="16133" width="9.140625" style="85"/>
    <col min="16134" max="16134" width="10.28515625" style="85" customWidth="1"/>
    <col min="16135" max="16135" width="9.140625" style="85"/>
    <col min="16136" max="16136" width="9.28515625" style="85" customWidth="1"/>
    <col min="16137" max="16138" width="9.140625" style="85"/>
    <col min="16139" max="16139" width="12.28515625" style="85" customWidth="1"/>
    <col min="16140" max="16140" width="11" style="85" customWidth="1"/>
    <col min="16141" max="16384" width="9.140625" style="85"/>
  </cols>
  <sheetData>
    <row r="1" spans="1:20" ht="18.75" x14ac:dyDescent="0.3">
      <c r="C1" s="236" t="s">
        <v>109</v>
      </c>
    </row>
    <row r="2" spans="1:20" ht="18.75" x14ac:dyDescent="0.3">
      <c r="B2" s="237" t="s">
        <v>219</v>
      </c>
      <c r="J2" s="97">
        <f>[2]HQ500!J2</f>
        <v>1.2800000000000001E-2</v>
      </c>
    </row>
    <row r="3" spans="1:20" ht="18.75" x14ac:dyDescent="0.3">
      <c r="A3" s="236"/>
    </row>
    <row r="4" spans="1:20" x14ac:dyDescent="0.25">
      <c r="D4" s="85" t="s">
        <v>112</v>
      </c>
      <c r="E4" s="85" t="s">
        <v>113</v>
      </c>
      <c r="F4" s="85" t="s">
        <v>114</v>
      </c>
      <c r="G4" s="85" t="s">
        <v>115</v>
      </c>
    </row>
    <row r="5" spans="1:20" x14ac:dyDescent="0.25">
      <c r="A5" s="238" t="s">
        <v>117</v>
      </c>
    </row>
    <row r="6" spans="1:20" x14ac:dyDescent="0.25">
      <c r="B6" s="85" t="s">
        <v>118</v>
      </c>
      <c r="D6" s="86" t="s">
        <v>119</v>
      </c>
      <c r="E6" s="86" t="s">
        <v>120</v>
      </c>
      <c r="F6" s="86" t="s">
        <v>121</v>
      </c>
      <c r="K6" s="85" t="s">
        <v>220</v>
      </c>
      <c r="S6" s="85">
        <v>100</v>
      </c>
      <c r="T6" s="87">
        <f>T54</f>
        <v>105.09965824043539</v>
      </c>
    </row>
    <row r="7" spans="1:20" x14ac:dyDescent="0.25">
      <c r="B7" s="211" t="s">
        <v>123</v>
      </c>
      <c r="C7" s="212">
        <v>1</v>
      </c>
      <c r="D7" s="211"/>
      <c r="E7" s="211">
        <v>75</v>
      </c>
      <c r="F7" s="221">
        <v>0</v>
      </c>
      <c r="G7" s="211"/>
      <c r="K7" s="86" t="s">
        <v>116</v>
      </c>
      <c r="L7" s="86">
        <v>2015</v>
      </c>
      <c r="S7" s="85">
        <v>6.8000000000000005E-2</v>
      </c>
    </row>
    <row r="8" spans="1:20" x14ac:dyDescent="0.25">
      <c r="B8" s="89" t="s">
        <v>124</v>
      </c>
      <c r="C8" s="92">
        <v>2</v>
      </c>
      <c r="D8" s="89"/>
      <c r="E8" s="89"/>
      <c r="F8" s="89">
        <v>0</v>
      </c>
      <c r="G8" s="89"/>
      <c r="J8" s="85">
        <v>2015</v>
      </c>
      <c r="K8" s="87">
        <f>F30</f>
        <v>99.441025758990591</v>
      </c>
      <c r="L8" s="87"/>
      <c r="O8" s="85">
        <v>400</v>
      </c>
      <c r="P8" s="85">
        <f>O8*0.013</f>
        <v>5.2</v>
      </c>
      <c r="S8" s="85">
        <f>S6*S7</f>
        <v>6.8000000000000007</v>
      </c>
    </row>
    <row r="9" spans="1:20" x14ac:dyDescent="0.25">
      <c r="B9" s="90" t="s">
        <v>125</v>
      </c>
      <c r="C9" s="91" t="s">
        <v>221</v>
      </c>
      <c r="E9" s="85">
        <v>75</v>
      </c>
      <c r="F9" s="239">
        <v>0</v>
      </c>
      <c r="J9" s="85">
        <f>J8+1</f>
        <v>2016</v>
      </c>
      <c r="K9" s="87">
        <f t="shared" ref="K9:K43" si="0">K8*(1+F$31)</f>
        <v>100.73375909385746</v>
      </c>
      <c r="L9" s="87">
        <f>K9/(1.06^($J9-$J$8))</f>
        <v>95.031848201752311</v>
      </c>
      <c r="P9" s="85">
        <f>P8*1.02</f>
        <v>5.3040000000000003</v>
      </c>
      <c r="Q9" s="85">
        <f>P9/1.075</f>
        <v>4.9339534883720937</v>
      </c>
      <c r="S9" s="85">
        <f>S8</f>
        <v>6.8000000000000007</v>
      </c>
      <c r="T9" s="87">
        <f>S9/(1.06^($J9-$J$8))</f>
        <v>6.4150943396226419</v>
      </c>
    </row>
    <row r="10" spans="1:20" x14ac:dyDescent="0.25">
      <c r="J10" s="85">
        <f t="shared" ref="J10:J53" si="1">J9+1</f>
        <v>2017</v>
      </c>
      <c r="K10" s="87">
        <f t="shared" si="0"/>
        <v>102.04329796207759</v>
      </c>
      <c r="L10" s="87">
        <f t="shared" ref="L10:L43" si="2">K10/(1.06^($J10-$J$8))</f>
        <v>90.818171913561386</v>
      </c>
      <c r="P10" s="85">
        <f t="shared" ref="P10:P43" si="3">P9*1.02</f>
        <v>5.4100800000000007</v>
      </c>
      <c r="Q10" s="87">
        <f>P10/(1.075^(J10-J$8))</f>
        <v>4.6815186587344524</v>
      </c>
      <c r="S10" s="85">
        <f t="shared" ref="S10:S53" si="4">S9</f>
        <v>6.8000000000000007</v>
      </c>
      <c r="T10" s="87">
        <f t="shared" ref="T10:T53" si="5">S10/(1.06^($J10-$J$8))</f>
        <v>6.0519757920968313</v>
      </c>
    </row>
    <row r="11" spans="1:20" x14ac:dyDescent="0.25">
      <c r="A11" s="238" t="s">
        <v>222</v>
      </c>
      <c r="J11" s="85">
        <f t="shared" si="1"/>
        <v>2018</v>
      </c>
      <c r="K11" s="87">
        <f t="shared" si="0"/>
        <v>103.36986083558459</v>
      </c>
      <c r="L11" s="87">
        <f t="shared" si="2"/>
        <v>86.791328441922332</v>
      </c>
      <c r="P11" s="85">
        <f t="shared" si="3"/>
        <v>5.5182816000000008</v>
      </c>
      <c r="Q11" s="87">
        <f t="shared" ref="Q11:Q43" si="6">P11/(1.075^(J11-J$8))</f>
        <v>4.4419990994503644</v>
      </c>
      <c r="S11" s="85">
        <f t="shared" si="4"/>
        <v>6.8000000000000007</v>
      </c>
      <c r="T11" s="87">
        <f t="shared" si="5"/>
        <v>5.7094111246196517</v>
      </c>
    </row>
    <row r="12" spans="1:20" x14ac:dyDescent="0.25">
      <c r="B12" s="85" t="s">
        <v>217</v>
      </c>
      <c r="C12" s="91" t="s">
        <v>223</v>
      </c>
      <c r="D12" s="88">
        <v>80.5</v>
      </c>
      <c r="E12" s="88">
        <f>D12*1.013^5+E$9*0.068</f>
        <v>90.970325110691547</v>
      </c>
      <c r="F12" s="217">
        <f>E12*(1+J2)^7+F$9*0.068</f>
        <v>99.441025758990591</v>
      </c>
      <c r="G12" s="217">
        <f>F12*(1+J2)^35+G$9*0.068</f>
        <v>155.20111574117826</v>
      </c>
      <c r="J12" s="85">
        <f t="shared" si="1"/>
        <v>2019</v>
      </c>
      <c r="K12" s="87">
        <f t="shared" si="0"/>
        <v>104.71366902644718</v>
      </c>
      <c r="L12" s="87">
        <f t="shared" si="2"/>
        <v>82.943033690252179</v>
      </c>
      <c r="P12" s="85">
        <f t="shared" si="3"/>
        <v>5.6286472320000005</v>
      </c>
      <c r="Q12" s="87">
        <f t="shared" si="6"/>
        <v>4.2147340292459265</v>
      </c>
      <c r="S12" s="85">
        <f t="shared" si="4"/>
        <v>6.8000000000000007</v>
      </c>
      <c r="T12" s="87">
        <f t="shared" si="5"/>
        <v>5.386236910018539</v>
      </c>
    </row>
    <row r="13" spans="1:20" x14ac:dyDescent="0.25">
      <c r="B13" s="240" t="s">
        <v>224</v>
      </c>
      <c r="J13" s="85">
        <f t="shared" si="1"/>
        <v>2020</v>
      </c>
      <c r="K13" s="87">
        <f t="shared" si="0"/>
        <v>106.07494672379099</v>
      </c>
      <c r="L13" s="87">
        <f t="shared" si="2"/>
        <v>79.265370875684383</v>
      </c>
      <c r="N13" s="85">
        <v>400</v>
      </c>
      <c r="P13" s="85">
        <f t="shared" si="3"/>
        <v>5.7412201766400006</v>
      </c>
      <c r="Q13" s="87">
        <f t="shared" si="6"/>
        <v>3.9990964742612514</v>
      </c>
      <c r="S13" s="85">
        <f t="shared" si="4"/>
        <v>6.8000000000000007</v>
      </c>
      <c r="T13" s="87">
        <f t="shared" si="5"/>
        <v>5.0813555754891873</v>
      </c>
    </row>
    <row r="14" spans="1:20" x14ac:dyDescent="0.25">
      <c r="B14" s="85" t="s">
        <v>225</v>
      </c>
      <c r="C14" s="91">
        <v>5</v>
      </c>
      <c r="D14" s="88">
        <v>4.5</v>
      </c>
      <c r="E14" s="88">
        <v>7.9</v>
      </c>
      <c r="F14" s="88">
        <f>E14*1.02^7</f>
        <v>9.0746167744293107</v>
      </c>
      <c r="G14" s="88">
        <f>F14*1.02^35</f>
        <v>18.14823128159664</v>
      </c>
      <c r="J14" s="85">
        <f t="shared" si="1"/>
        <v>2021</v>
      </c>
      <c r="K14" s="87">
        <f t="shared" si="0"/>
        <v>107.45392103120025</v>
      </c>
      <c r="L14" s="87">
        <f t="shared" si="2"/>
        <v>75.750774242517224</v>
      </c>
      <c r="P14" s="85">
        <f t="shared" si="3"/>
        <v>5.8560445801728012</v>
      </c>
      <c r="Q14" s="87">
        <f t="shared" si="6"/>
        <v>3.794491538368816</v>
      </c>
      <c r="S14" s="85">
        <f t="shared" si="4"/>
        <v>6.8000000000000007</v>
      </c>
      <c r="T14" s="87">
        <f t="shared" si="5"/>
        <v>4.7937316749897994</v>
      </c>
    </row>
    <row r="15" spans="1:20" x14ac:dyDescent="0.25">
      <c r="B15" s="89" t="s">
        <v>226</v>
      </c>
      <c r="C15" s="92">
        <v>6</v>
      </c>
      <c r="D15" s="93">
        <v>5.6</v>
      </c>
      <c r="E15" s="93">
        <f>(5664*1.02^5)/1000</f>
        <v>6.2535136693248008</v>
      </c>
      <c r="F15" s="93">
        <f>E15*1.02^7</f>
        <v>7.1833215244022561</v>
      </c>
      <c r="G15" s="93">
        <f>F15*1.02^35</f>
        <v>14.36584967006741</v>
      </c>
      <c r="H15" s="87"/>
      <c r="J15" s="85">
        <f t="shared" si="1"/>
        <v>2022</v>
      </c>
      <c r="K15" s="87">
        <f t="shared" si="0"/>
        <v>108.85082200460585</v>
      </c>
      <c r="L15" s="87">
        <f t="shared" si="2"/>
        <v>72.392013497801827</v>
      </c>
      <c r="P15" s="85">
        <f t="shared" si="3"/>
        <v>5.973165471776257</v>
      </c>
      <c r="Q15" s="87">
        <f t="shared" si="6"/>
        <v>3.6003547619871554</v>
      </c>
      <c r="S15" s="85">
        <f t="shared" si="4"/>
        <v>6.8000000000000007</v>
      </c>
      <c r="T15" s="87">
        <f t="shared" si="5"/>
        <v>4.5223883726318856</v>
      </c>
    </row>
    <row r="16" spans="1:20" x14ac:dyDescent="0.25">
      <c r="B16" s="90" t="s">
        <v>227</v>
      </c>
      <c r="C16" s="91" t="s">
        <v>228</v>
      </c>
      <c r="D16" s="88">
        <f>SUM(D14:D15)</f>
        <v>10.1</v>
      </c>
      <c r="E16" s="88">
        <f>SUM(E14:E15)</f>
        <v>14.153513669324802</v>
      </c>
      <c r="F16" s="88">
        <f>SUM(F14:F15)</f>
        <v>16.257938298831569</v>
      </c>
      <c r="G16" s="88">
        <f>SUM(G14:G15)</f>
        <v>32.514080951664049</v>
      </c>
      <c r="J16" s="85">
        <f t="shared" si="1"/>
        <v>2023</v>
      </c>
      <c r="K16" s="87">
        <f t="shared" si="0"/>
        <v>110.26588269066571</v>
      </c>
      <c r="L16" s="87">
        <f t="shared" si="2"/>
        <v>69.182178937050224</v>
      </c>
      <c r="P16" s="85">
        <f t="shared" si="3"/>
        <v>6.0926287812117819</v>
      </c>
      <c r="Q16" s="87">
        <f t="shared" si="6"/>
        <v>3.4161505648622312</v>
      </c>
      <c r="S16" s="85">
        <f t="shared" si="4"/>
        <v>6.8000000000000007</v>
      </c>
      <c r="T16" s="87">
        <f t="shared" si="5"/>
        <v>4.2664041251244207</v>
      </c>
    </row>
    <row r="17" spans="1:20" x14ac:dyDescent="0.25">
      <c r="J17" s="85">
        <f t="shared" si="1"/>
        <v>2024</v>
      </c>
      <c r="K17" s="87">
        <f t="shared" si="0"/>
        <v>111.69933916564435</v>
      </c>
      <c r="L17" s="87">
        <f t="shared" si="2"/>
        <v>66.114667229464033</v>
      </c>
      <c r="P17" s="85">
        <f t="shared" si="3"/>
        <v>6.2144813568360178</v>
      </c>
      <c r="Q17" s="87">
        <f t="shared" si="6"/>
        <v>3.2413707685204427</v>
      </c>
      <c r="S17" s="85">
        <f t="shared" si="4"/>
        <v>6.8000000000000007</v>
      </c>
      <c r="T17" s="87">
        <f t="shared" si="5"/>
        <v>4.0249095520041704</v>
      </c>
    </row>
    <row r="18" spans="1:20" x14ac:dyDescent="0.25">
      <c r="A18" s="238" t="s">
        <v>127</v>
      </c>
      <c r="C18" s="241"/>
      <c r="J18" s="85">
        <f t="shared" si="1"/>
        <v>2025</v>
      </c>
      <c r="K18" s="87">
        <f t="shared" si="0"/>
        <v>113.15143057479771</v>
      </c>
      <c r="L18" s="87">
        <f t="shared" si="2"/>
        <v>63.183167833440621</v>
      </c>
      <c r="P18" s="85">
        <f t="shared" si="3"/>
        <v>6.3387709839727382</v>
      </c>
      <c r="Q18" s="87">
        <f t="shared" si="6"/>
        <v>3.0755331943170718</v>
      </c>
      <c r="S18" s="85">
        <f t="shared" si="4"/>
        <v>6.8000000000000007</v>
      </c>
      <c r="T18" s="87">
        <f t="shared" si="5"/>
        <v>3.7970844830228021</v>
      </c>
    </row>
    <row r="19" spans="1:20" x14ac:dyDescent="0.25">
      <c r="B19" s="85" t="s">
        <v>128</v>
      </c>
      <c r="C19" s="91">
        <v>8</v>
      </c>
      <c r="D19" s="85">
        <v>2100</v>
      </c>
      <c r="E19" s="85">
        <v>2100</v>
      </c>
      <c r="F19" s="85">
        <v>1900</v>
      </c>
      <c r="G19" s="242">
        <f>F19*1.005^35</f>
        <v>2262.381091705955</v>
      </c>
      <c r="J19" s="85">
        <f t="shared" si="1"/>
        <v>2026</v>
      </c>
      <c r="K19" s="87">
        <f t="shared" si="0"/>
        <v>114.62239917227008</v>
      </c>
      <c r="L19" s="87">
        <f t="shared" si="2"/>
        <v>60.381650014410688</v>
      </c>
      <c r="P19" s="85">
        <f t="shared" si="3"/>
        <v>6.4655464036521932</v>
      </c>
      <c r="Q19" s="87">
        <f t="shared" si="6"/>
        <v>2.9181803332124772</v>
      </c>
      <c r="S19" s="85">
        <f t="shared" si="4"/>
        <v>6.8000000000000007</v>
      </c>
      <c r="T19" s="87">
        <f t="shared" si="5"/>
        <v>3.5821551726630201</v>
      </c>
    </row>
    <row r="20" spans="1:20" x14ac:dyDescent="0.25">
      <c r="B20" s="85" t="s">
        <v>129</v>
      </c>
      <c r="C20" s="91">
        <v>9</v>
      </c>
      <c r="D20" s="85">
        <v>720</v>
      </c>
      <c r="E20" s="85">
        <v>1080</v>
      </c>
      <c r="F20" s="85">
        <f>E20</f>
        <v>1080</v>
      </c>
      <c r="G20" s="85">
        <f>F20</f>
        <v>1080</v>
      </c>
      <c r="J20" s="85">
        <f t="shared" si="1"/>
        <v>2027</v>
      </c>
      <c r="K20" s="87">
        <f t="shared" si="0"/>
        <v>116.11249036150957</v>
      </c>
      <c r="L20" s="87">
        <f t="shared" si="2"/>
        <v>57.704350438300018</v>
      </c>
      <c r="P20" s="85">
        <f t="shared" si="3"/>
        <v>6.5948573317252368</v>
      </c>
      <c r="Q20" s="87">
        <f t="shared" si="6"/>
        <v>2.7688780836062574</v>
      </c>
      <c r="S20" s="85">
        <f t="shared" si="4"/>
        <v>6.8000000000000007</v>
      </c>
      <c r="T20" s="87">
        <f t="shared" si="5"/>
        <v>3.3793916723236039</v>
      </c>
    </row>
    <row r="21" spans="1:20" x14ac:dyDescent="0.25">
      <c r="B21" s="89" t="s">
        <v>130</v>
      </c>
      <c r="C21" s="92">
        <v>10</v>
      </c>
      <c r="D21" s="89">
        <v>300</v>
      </c>
      <c r="E21" s="89">
        <v>250</v>
      </c>
      <c r="F21" s="89">
        <v>200</v>
      </c>
      <c r="G21" s="89">
        <v>200</v>
      </c>
      <c r="J21" s="85">
        <f t="shared" si="1"/>
        <v>2028</v>
      </c>
      <c r="K21" s="87">
        <f t="shared" si="0"/>
        <v>117.62195273620918</v>
      </c>
      <c r="L21" s="87">
        <f t="shared" si="2"/>
        <v>55.145761315092365</v>
      </c>
      <c r="P21" s="85">
        <f t="shared" si="3"/>
        <v>6.7267544783597417</v>
      </c>
      <c r="Q21" s="87">
        <f t="shared" si="6"/>
        <v>2.6272145537473324</v>
      </c>
      <c r="S21" s="85">
        <f t="shared" si="4"/>
        <v>6.8000000000000007</v>
      </c>
      <c r="T21" s="87">
        <f t="shared" si="5"/>
        <v>3.1881053512486823</v>
      </c>
    </row>
    <row r="22" spans="1:20" x14ac:dyDescent="0.25">
      <c r="B22" s="90" t="s">
        <v>131</v>
      </c>
      <c r="C22" s="94" t="s">
        <v>229</v>
      </c>
      <c r="D22" s="85">
        <f>SUM(D19:D21)</f>
        <v>3120</v>
      </c>
      <c r="E22" s="85">
        <f>SUM(E19:E21)</f>
        <v>3430</v>
      </c>
      <c r="F22" s="85">
        <f>SUM(F19:F21)</f>
        <v>3180</v>
      </c>
      <c r="G22" s="242">
        <f>SUM(G19:G21)</f>
        <v>3542.381091705955</v>
      </c>
      <c r="J22" s="85">
        <f t="shared" si="1"/>
        <v>2029</v>
      </c>
      <c r="K22" s="87">
        <f t="shared" si="0"/>
        <v>119.15103812177989</v>
      </c>
      <c r="L22" s="87">
        <f t="shared" si="2"/>
        <v>52.700619068102412</v>
      </c>
      <c r="P22" s="85">
        <f t="shared" si="3"/>
        <v>6.8612895679269368</v>
      </c>
      <c r="Q22" s="87">
        <f t="shared" si="6"/>
        <v>2.4927989254160741</v>
      </c>
      <c r="S22" s="85">
        <f t="shared" si="4"/>
        <v>6.8000000000000007</v>
      </c>
      <c r="T22" s="87">
        <f t="shared" si="5"/>
        <v>3.0076465577817761</v>
      </c>
    </row>
    <row r="23" spans="1:20" x14ac:dyDescent="0.25">
      <c r="J23" s="85">
        <f t="shared" si="1"/>
        <v>2030</v>
      </c>
      <c r="K23" s="87">
        <f t="shared" si="0"/>
        <v>120.70000161736301</v>
      </c>
      <c r="L23" s="87">
        <f t="shared" si="2"/>
        <v>50.363893505648797</v>
      </c>
      <c r="P23" s="85">
        <f t="shared" si="3"/>
        <v>6.9985153592854754</v>
      </c>
      <c r="Q23" s="87">
        <f t="shared" si="6"/>
        <v>2.3652603757436235</v>
      </c>
      <c r="S23" s="85">
        <f t="shared" si="4"/>
        <v>6.8000000000000007</v>
      </c>
      <c r="T23" s="87">
        <f t="shared" si="5"/>
        <v>2.8374024130016746</v>
      </c>
    </row>
    <row r="24" spans="1:20" x14ac:dyDescent="0.25">
      <c r="A24" s="238" t="s">
        <v>230</v>
      </c>
      <c r="C24" s="91"/>
      <c r="J24" s="85">
        <f t="shared" si="1"/>
        <v>2031</v>
      </c>
      <c r="K24" s="87">
        <f t="shared" si="0"/>
        <v>122.26910163838872</v>
      </c>
      <c r="L24" s="87">
        <f t="shared" si="2"/>
        <v>48.130777472851172</v>
      </c>
      <c r="P24" s="85">
        <f t="shared" si="3"/>
        <v>7.1384856664711851</v>
      </c>
      <c r="Q24" s="87">
        <f t="shared" si="6"/>
        <v>2.2442470541939499</v>
      </c>
      <c r="S24" s="85">
        <f t="shared" si="4"/>
        <v>6.8000000000000007</v>
      </c>
      <c r="T24" s="87">
        <f t="shared" si="5"/>
        <v>2.6767947292468635</v>
      </c>
    </row>
    <row r="25" spans="1:20" x14ac:dyDescent="0.25">
      <c r="B25" s="85" t="s">
        <v>214</v>
      </c>
      <c r="C25" s="91" t="s">
        <v>231</v>
      </c>
      <c r="D25" s="88">
        <f>D12/D22*1000</f>
        <v>25.801282051282051</v>
      </c>
      <c r="E25" s="88">
        <f>E12/E22*1000</f>
        <v>26.521960673671003</v>
      </c>
      <c r="F25" s="88">
        <f>F12/F22*1000</f>
        <v>31.270762817292638</v>
      </c>
      <c r="G25" s="87">
        <f>G12/G22*1000</f>
        <v>43.812653614418387</v>
      </c>
      <c r="H25" s="87">
        <f>F25*(1+I25)^35</f>
        <v>44.144998107178068</v>
      </c>
      <c r="I25" s="97">
        <v>9.9000000000000008E-3</v>
      </c>
      <c r="J25" s="85">
        <f t="shared" si="1"/>
        <v>2032</v>
      </c>
      <c r="K25" s="87">
        <f t="shared" si="0"/>
        <v>123.85859995968777</v>
      </c>
      <c r="L25" s="87">
        <f t="shared" si="2"/>
        <v>45.996676962262477</v>
      </c>
      <c r="P25" s="85">
        <f t="shared" si="3"/>
        <v>7.2812553798006086</v>
      </c>
      <c r="Q25" s="87">
        <f t="shared" si="6"/>
        <v>2.1294251118863525</v>
      </c>
      <c r="S25" s="85">
        <f t="shared" si="4"/>
        <v>6.8000000000000007</v>
      </c>
      <c r="T25" s="87">
        <f t="shared" si="5"/>
        <v>2.525278046459305</v>
      </c>
    </row>
    <row r="26" spans="1:20" x14ac:dyDescent="0.25">
      <c r="B26" s="85" t="s">
        <v>224</v>
      </c>
      <c r="C26" s="243" t="s">
        <v>232</v>
      </c>
      <c r="D26" s="87">
        <f>D16/D22*1000</f>
        <v>3.2371794871794872</v>
      </c>
      <c r="E26" s="87">
        <f>E16/E22*1000</f>
        <v>4.1263888248760354</v>
      </c>
      <c r="F26" s="233">
        <f>F16/F22*1000</f>
        <v>5.112559213469047</v>
      </c>
      <c r="G26" s="87">
        <f>G16/G22*1000</f>
        <v>9.1785948800911701</v>
      </c>
      <c r="J26" s="85">
        <f t="shared" si="1"/>
        <v>2033</v>
      </c>
      <c r="K26" s="87">
        <f t="shared" si="0"/>
        <v>125.4687617591637</v>
      </c>
      <c r="L26" s="87">
        <f t="shared" si="2"/>
        <v>43.957201662992347</v>
      </c>
      <c r="P26" s="85">
        <f t="shared" si="3"/>
        <v>7.4268804873966205</v>
      </c>
      <c r="Q26" s="87">
        <f t="shared" si="6"/>
        <v>2.0204777805805394</v>
      </c>
      <c r="S26" s="85">
        <f t="shared" si="4"/>
        <v>6.8000000000000007</v>
      </c>
      <c r="T26" s="87">
        <f t="shared" si="5"/>
        <v>2.3823377796785898</v>
      </c>
    </row>
    <row r="27" spans="1:20" x14ac:dyDescent="0.25">
      <c r="J27" s="85">
        <f t="shared" si="1"/>
        <v>2034</v>
      </c>
      <c r="K27" s="87">
        <f t="shared" si="0"/>
        <v>127.09985566203281</v>
      </c>
      <c r="L27" s="87">
        <f t="shared" si="2"/>
        <v>42.008155928878523</v>
      </c>
      <c r="P27" s="85">
        <f t="shared" si="3"/>
        <v>7.5754180971445528</v>
      </c>
      <c r="Q27" s="87">
        <f t="shared" si="6"/>
        <v>1.9171044987833954</v>
      </c>
      <c r="S27" s="85">
        <f t="shared" si="4"/>
        <v>6.8000000000000007</v>
      </c>
      <c r="T27" s="87">
        <f t="shared" si="5"/>
        <v>2.2474884713948957</v>
      </c>
    </row>
    <row r="28" spans="1:20" x14ac:dyDescent="0.25">
      <c r="A28" s="238" t="s">
        <v>233</v>
      </c>
      <c r="C28" s="241"/>
      <c r="H28" s="87"/>
      <c r="J28" s="85">
        <f t="shared" si="1"/>
        <v>2035</v>
      </c>
      <c r="K28" s="87">
        <f t="shared" si="0"/>
        <v>128.75215378563922</v>
      </c>
      <c r="L28" s="87">
        <f t="shared" si="2"/>
        <v>40.145530147126358</v>
      </c>
      <c r="P28" s="85">
        <f t="shared" si="3"/>
        <v>7.7269264590874442</v>
      </c>
      <c r="Q28" s="87">
        <f t="shared" si="6"/>
        <v>1.8190200825665708</v>
      </c>
      <c r="S28" s="85">
        <f t="shared" si="4"/>
        <v>6.8000000000000007</v>
      </c>
      <c r="T28" s="87">
        <f t="shared" si="5"/>
        <v>2.1202721428253732</v>
      </c>
    </row>
    <row r="29" spans="1:20" x14ac:dyDescent="0.25">
      <c r="B29" s="85" t="s">
        <v>206</v>
      </c>
      <c r="C29" s="91" t="s">
        <v>234</v>
      </c>
      <c r="F29" s="244">
        <f>F22</f>
        <v>3180</v>
      </c>
      <c r="G29" s="245">
        <f>G22</f>
        <v>3542.381091705955</v>
      </c>
      <c r="J29" s="85">
        <f t="shared" si="1"/>
        <v>2036</v>
      </c>
      <c r="K29" s="87">
        <f t="shared" si="0"/>
        <v>130.42593178485251</v>
      </c>
      <c r="L29" s="87">
        <f t="shared" si="2"/>
        <v>38.365492489659424</v>
      </c>
      <c r="P29" s="85">
        <f t="shared" si="3"/>
        <v>7.881464988269193</v>
      </c>
      <c r="Q29" s="87">
        <f t="shared" si="6"/>
        <v>1.7259539388073506</v>
      </c>
      <c r="S29" s="85">
        <f t="shared" si="4"/>
        <v>6.8000000000000007</v>
      </c>
      <c r="T29" s="87">
        <f t="shared" si="5"/>
        <v>2.0002567385145027</v>
      </c>
    </row>
    <row r="30" spans="1:20" x14ac:dyDescent="0.25">
      <c r="B30" s="85" t="s">
        <v>235</v>
      </c>
      <c r="C30" s="91" t="s">
        <v>236</v>
      </c>
      <c r="F30" s="88">
        <f>F22*F25/1000</f>
        <v>99.441025758990591</v>
      </c>
      <c r="G30" s="88">
        <f>G22*G25/1000</f>
        <v>155.20111574117826</v>
      </c>
      <c r="J30" s="85">
        <f t="shared" si="1"/>
        <v>2037</v>
      </c>
      <c r="K30" s="87">
        <f t="shared" si="0"/>
        <v>132.12146889805558</v>
      </c>
      <c r="L30" s="87">
        <f t="shared" si="2"/>
        <v>36.664381030212255</v>
      </c>
      <c r="P30" s="85">
        <f t="shared" si="3"/>
        <v>8.0390942880345762</v>
      </c>
      <c r="Q30" s="87">
        <f t="shared" si="6"/>
        <v>1.6376493186823233</v>
      </c>
      <c r="S30" s="85">
        <f t="shared" si="4"/>
        <v>6.8000000000000007</v>
      </c>
      <c r="T30" s="87">
        <f t="shared" si="5"/>
        <v>1.8870346589759459</v>
      </c>
    </row>
    <row r="31" spans="1:20" x14ac:dyDescent="0.25">
      <c r="B31" s="85" t="s">
        <v>237</v>
      </c>
      <c r="C31" s="91">
        <v>15</v>
      </c>
      <c r="F31" s="246">
        <v>1.2999999999999999E-2</v>
      </c>
      <c r="G31" s="95"/>
      <c r="J31" s="85">
        <f t="shared" si="1"/>
        <v>2038</v>
      </c>
      <c r="K31" s="87">
        <f t="shared" si="0"/>
        <v>133.8390479937303</v>
      </c>
      <c r="L31" s="87">
        <f t="shared" si="2"/>
        <v>35.038696210948117</v>
      </c>
      <c r="P31" s="85">
        <f t="shared" si="3"/>
        <v>8.1998761737952677</v>
      </c>
      <c r="Q31" s="87">
        <f t="shared" si="6"/>
        <v>1.5538626093543906</v>
      </c>
      <c r="S31" s="85">
        <f t="shared" si="4"/>
        <v>6.8000000000000007</v>
      </c>
      <c r="T31" s="87">
        <f t="shared" si="5"/>
        <v>1.7802213763924015</v>
      </c>
    </row>
    <row r="32" spans="1:20" x14ac:dyDescent="0.25">
      <c r="B32" s="247" t="s">
        <v>238</v>
      </c>
      <c r="C32" s="91" t="s">
        <v>239</v>
      </c>
      <c r="F32" s="248">
        <f>L44</f>
        <v>1705.0410851729926</v>
      </c>
      <c r="J32" s="85">
        <f t="shared" si="1"/>
        <v>2039</v>
      </c>
      <c r="K32" s="87">
        <f t="shared" si="0"/>
        <v>135.57895561764877</v>
      </c>
      <c r="L32" s="87">
        <f t="shared" si="2"/>
        <v>33.485093643104193</v>
      </c>
      <c r="P32" s="85">
        <f t="shared" si="3"/>
        <v>8.363873697271174</v>
      </c>
      <c r="Q32" s="87">
        <f t="shared" si="6"/>
        <v>1.47436266189905</v>
      </c>
      <c r="S32" s="85">
        <f t="shared" si="4"/>
        <v>6.8000000000000007</v>
      </c>
      <c r="T32" s="87">
        <f t="shared" si="5"/>
        <v>1.6794541286720772</v>
      </c>
    </row>
    <row r="33" spans="1:21" x14ac:dyDescent="0.25">
      <c r="J33" s="85">
        <f t="shared" si="1"/>
        <v>2040</v>
      </c>
      <c r="K33" s="87">
        <f t="shared" si="0"/>
        <v>137.34148204067819</v>
      </c>
      <c r="L33" s="87">
        <f t="shared" si="2"/>
        <v>32.000377226853345</v>
      </c>
      <c r="P33" s="85">
        <f t="shared" si="3"/>
        <v>8.5311511712165977</v>
      </c>
      <c r="Q33" s="87">
        <f t="shared" si="6"/>
        <v>1.3989301536158427</v>
      </c>
      <c r="S33" s="85">
        <f t="shared" si="4"/>
        <v>6.8000000000000007</v>
      </c>
      <c r="T33" s="87">
        <f t="shared" si="5"/>
        <v>1.5843906874264879</v>
      </c>
    </row>
    <row r="34" spans="1:21" x14ac:dyDescent="0.25">
      <c r="J34" s="85">
        <f t="shared" si="1"/>
        <v>2041</v>
      </c>
      <c r="K34" s="87">
        <f t="shared" si="0"/>
        <v>139.126921307207</v>
      </c>
      <c r="L34" s="87">
        <f t="shared" si="2"/>
        <v>30.581492576228712</v>
      </c>
      <c r="P34" s="85">
        <f t="shared" si="3"/>
        <v>8.7017741946409295</v>
      </c>
      <c r="Q34" s="87">
        <f t="shared" si="6"/>
        <v>1.3273569829657301</v>
      </c>
      <c r="S34" s="85">
        <f t="shared" si="4"/>
        <v>6.8000000000000007</v>
      </c>
      <c r="T34" s="87">
        <f t="shared" si="5"/>
        <v>1.4947081956853658</v>
      </c>
    </row>
    <row r="35" spans="1:21" x14ac:dyDescent="0.25">
      <c r="J35" s="85">
        <f t="shared" si="1"/>
        <v>2042</v>
      </c>
      <c r="K35" s="87">
        <f t="shared" si="0"/>
        <v>140.93557128420068</v>
      </c>
      <c r="L35" s="87">
        <f t="shared" si="2"/>
        <v>29.225520735584599</v>
      </c>
      <c r="P35" s="85">
        <f t="shared" si="3"/>
        <v>8.8758096785337486</v>
      </c>
      <c r="Q35" s="87">
        <f t="shared" si="6"/>
        <v>1.2594456954651578</v>
      </c>
      <c r="S35" s="85">
        <f t="shared" si="4"/>
        <v>6.8000000000000007</v>
      </c>
      <c r="T35" s="87">
        <f t="shared" si="5"/>
        <v>1.4101020714012882</v>
      </c>
    </row>
    <row r="36" spans="1:21" x14ac:dyDescent="0.25">
      <c r="J36" s="85">
        <f t="shared" si="1"/>
        <v>2043</v>
      </c>
      <c r="K36" s="87">
        <f t="shared" si="0"/>
        <v>142.76773371089527</v>
      </c>
      <c r="L36" s="87">
        <f t="shared" si="2"/>
        <v>27.929672174667164</v>
      </c>
      <c r="P36" s="85">
        <f t="shared" si="3"/>
        <v>9.0533258721044234</v>
      </c>
      <c r="Q36" s="87">
        <f t="shared" si="6"/>
        <v>1.195008938952987</v>
      </c>
      <c r="S36" s="85">
        <f t="shared" si="4"/>
        <v>6.8000000000000007</v>
      </c>
      <c r="T36" s="87">
        <f t="shared" si="5"/>
        <v>1.3302849730200832</v>
      </c>
    </row>
    <row r="37" spans="1:21" x14ac:dyDescent="0.25">
      <c r="A37" s="249"/>
      <c r="J37" s="85">
        <f t="shared" si="1"/>
        <v>2044</v>
      </c>
      <c r="K37" s="87">
        <f t="shared" si="0"/>
        <v>144.6237142491369</v>
      </c>
      <c r="L37" s="87">
        <f t="shared" si="2"/>
        <v>26.691281049941352</v>
      </c>
      <c r="P37" s="85">
        <f t="shared" si="3"/>
        <v>9.2343923895465121</v>
      </c>
      <c r="Q37" s="87">
        <f t="shared" si="6"/>
        <v>1.1338689467274852</v>
      </c>
      <c r="S37" s="85">
        <f t="shared" si="4"/>
        <v>6.8000000000000007</v>
      </c>
      <c r="T37" s="87">
        <f t="shared" si="5"/>
        <v>1.254985823603852</v>
      </c>
    </row>
    <row r="38" spans="1:21" x14ac:dyDescent="0.25">
      <c r="A38" s="242"/>
      <c r="J38" s="85">
        <f t="shared" si="1"/>
        <v>2045</v>
      </c>
      <c r="K38" s="87">
        <f t="shared" si="0"/>
        <v>146.50382253437567</v>
      </c>
      <c r="L38" s="87">
        <f t="shared" si="2"/>
        <v>25.507799720368482</v>
      </c>
      <c r="P38" s="85">
        <f t="shared" si="3"/>
        <v>9.4190802373374432</v>
      </c>
      <c r="Q38" s="87">
        <f t="shared" si="6"/>
        <v>1.0758570471274744</v>
      </c>
      <c r="S38" s="85">
        <f t="shared" si="4"/>
        <v>6.8000000000000007</v>
      </c>
      <c r="T38" s="87">
        <f t="shared" si="5"/>
        <v>1.1839488901923132</v>
      </c>
    </row>
    <row r="39" spans="1:21" x14ac:dyDescent="0.25">
      <c r="A39" s="242"/>
      <c r="B39" s="247"/>
      <c r="J39" s="85">
        <f t="shared" si="1"/>
        <v>2046</v>
      </c>
      <c r="K39" s="87">
        <f t="shared" si="0"/>
        <v>148.40837222732253</v>
      </c>
      <c r="L39" s="87">
        <f t="shared" si="2"/>
        <v>24.376793506352133</v>
      </c>
      <c r="P39" s="85">
        <f t="shared" si="3"/>
        <v>9.6074618420841915</v>
      </c>
      <c r="Q39" s="87">
        <f t="shared" si="6"/>
        <v>1.0208131982046733</v>
      </c>
      <c r="S39" s="85">
        <f t="shared" si="4"/>
        <v>6.8000000000000007</v>
      </c>
      <c r="T39" s="87">
        <f t="shared" si="5"/>
        <v>1.116932915275767</v>
      </c>
    </row>
    <row r="40" spans="1:21" x14ac:dyDescent="0.25">
      <c r="A40" s="242"/>
      <c r="J40" s="85">
        <f t="shared" si="1"/>
        <v>2047</v>
      </c>
      <c r="K40" s="87">
        <f t="shared" si="0"/>
        <v>150.3376810662777</v>
      </c>
      <c r="L40" s="87">
        <f t="shared" si="2"/>
        <v>23.295935681070482</v>
      </c>
      <c r="P40" s="85">
        <f t="shared" si="3"/>
        <v>9.7996110789258761</v>
      </c>
      <c r="Q40" s="87">
        <f t="shared" si="6"/>
        <v>0.96858554620350423</v>
      </c>
      <c r="S40" s="85">
        <f t="shared" si="4"/>
        <v>6.8000000000000007</v>
      </c>
      <c r="T40" s="87">
        <f t="shared" si="5"/>
        <v>1.053710297429969</v>
      </c>
    </row>
    <row r="41" spans="1:21" x14ac:dyDescent="0.25">
      <c r="J41" s="85">
        <f t="shared" si="1"/>
        <v>2048</v>
      </c>
      <c r="K41" s="87">
        <f t="shared" si="0"/>
        <v>152.29207092013928</v>
      </c>
      <c r="L41" s="87">
        <f t="shared" si="2"/>
        <v>22.263002683890939</v>
      </c>
      <c r="P41" s="85">
        <f t="shared" si="3"/>
        <v>9.9956033005043938</v>
      </c>
      <c r="Q41" s="87">
        <f t="shared" si="6"/>
        <v>0.91903000663030177</v>
      </c>
      <c r="S41" s="85">
        <f t="shared" si="4"/>
        <v>6.8000000000000007</v>
      </c>
      <c r="T41" s="87">
        <f t="shared" si="5"/>
        <v>0.99406631833015946</v>
      </c>
    </row>
    <row r="42" spans="1:21" x14ac:dyDescent="0.25">
      <c r="J42" s="85">
        <f t="shared" si="1"/>
        <v>2049</v>
      </c>
      <c r="K42" s="87">
        <f t="shared" si="0"/>
        <v>154.27186784210107</v>
      </c>
      <c r="L42" s="87">
        <f t="shared" si="2"/>
        <v>21.275869546020296</v>
      </c>
      <c r="P42" s="85">
        <f t="shared" si="3"/>
        <v>10.195515366514481</v>
      </c>
      <c r="Q42" s="87">
        <f t="shared" si="6"/>
        <v>0.8720098667561933</v>
      </c>
      <c r="S42" s="85">
        <f t="shared" si="4"/>
        <v>6.8000000000000007</v>
      </c>
      <c r="T42" s="87">
        <f t="shared" si="5"/>
        <v>0.93779841351901816</v>
      </c>
    </row>
    <row r="43" spans="1:21" x14ac:dyDescent="0.25">
      <c r="J43" s="85">
        <f t="shared" si="1"/>
        <v>2050</v>
      </c>
      <c r="K43" s="87">
        <f t="shared" si="0"/>
        <v>156.27740212404836</v>
      </c>
      <c r="L43" s="87">
        <f t="shared" si="2"/>
        <v>20.332505518979769</v>
      </c>
      <c r="P43" s="85">
        <f t="shared" si="3"/>
        <v>10.399425673844771</v>
      </c>
      <c r="Q43" s="87">
        <f t="shared" si="6"/>
        <v>0.82739540845703929</v>
      </c>
      <c r="S43" s="85">
        <f t="shared" si="4"/>
        <v>6.8000000000000007</v>
      </c>
      <c r="T43" s="87">
        <f t="shared" si="5"/>
        <v>0.88471548445190384</v>
      </c>
    </row>
    <row r="44" spans="1:21" x14ac:dyDescent="0.25">
      <c r="J44" s="85">
        <f t="shared" si="1"/>
        <v>2051</v>
      </c>
      <c r="K44" s="87" t="s">
        <v>144</v>
      </c>
      <c r="L44" s="250">
        <f>SUM(L9:L43)</f>
        <v>1705.0410851729926</v>
      </c>
      <c r="Q44" s="87">
        <f>SUM(Q9:Q43)</f>
        <v>81.091939697705882</v>
      </c>
      <c r="S44" s="85">
        <f t="shared" si="4"/>
        <v>6.8000000000000007</v>
      </c>
      <c r="T44" s="87">
        <f t="shared" si="5"/>
        <v>0.83463724948292817</v>
      </c>
      <c r="U44" s="87">
        <f>SUM(T9:T43)</f>
        <v>98.588075259134854</v>
      </c>
    </row>
    <row r="45" spans="1:21" x14ac:dyDescent="0.25">
      <c r="J45" s="85">
        <f t="shared" si="1"/>
        <v>2052</v>
      </c>
      <c r="S45" s="85">
        <f t="shared" si="4"/>
        <v>6.8000000000000007</v>
      </c>
      <c r="T45" s="87">
        <f t="shared" si="5"/>
        <v>0.78739363158766806</v>
      </c>
    </row>
    <row r="46" spans="1:21" x14ac:dyDescent="0.25">
      <c r="J46" s="85">
        <f t="shared" si="1"/>
        <v>2053</v>
      </c>
      <c r="S46" s="85">
        <f t="shared" si="4"/>
        <v>6.8000000000000007</v>
      </c>
      <c r="T46" s="87">
        <f t="shared" si="5"/>
        <v>0.74282418074308287</v>
      </c>
    </row>
    <row r="47" spans="1:21" x14ac:dyDescent="0.25">
      <c r="J47" s="85">
        <f t="shared" si="1"/>
        <v>2054</v>
      </c>
      <c r="O47" s="85">
        <v>0.4</v>
      </c>
      <c r="P47" s="85">
        <v>1.05</v>
      </c>
      <c r="Q47" s="85">
        <f>O47*P47</f>
        <v>0.42000000000000004</v>
      </c>
      <c r="S47" s="85">
        <f t="shared" si="4"/>
        <v>6.8000000000000007</v>
      </c>
      <c r="T47" s="87">
        <f t="shared" si="5"/>
        <v>0.70077752900290835</v>
      </c>
    </row>
    <row r="48" spans="1:21" x14ac:dyDescent="0.25">
      <c r="J48" s="85">
        <f t="shared" si="1"/>
        <v>2055</v>
      </c>
      <c r="O48" s="85">
        <v>0.6</v>
      </c>
      <c r="P48" s="85">
        <v>0.75</v>
      </c>
      <c r="Q48" s="85">
        <f>O48*P48</f>
        <v>0.44999999999999996</v>
      </c>
      <c r="S48" s="85">
        <f t="shared" si="4"/>
        <v>6.8000000000000007</v>
      </c>
      <c r="T48" s="87">
        <f t="shared" si="5"/>
        <v>0.66111087641783817</v>
      </c>
    </row>
    <row r="49" spans="10:20" x14ac:dyDescent="0.25">
      <c r="J49" s="85">
        <f t="shared" si="1"/>
        <v>2056</v>
      </c>
      <c r="Q49" s="85">
        <f>SUM(Q47:Q48)</f>
        <v>0.87</v>
      </c>
      <c r="S49" s="85">
        <f t="shared" si="4"/>
        <v>6.8000000000000007</v>
      </c>
      <c r="T49" s="87">
        <f t="shared" si="5"/>
        <v>0.6236895060545643</v>
      </c>
    </row>
    <row r="50" spans="10:20" x14ac:dyDescent="0.25">
      <c r="J50" s="85">
        <f t="shared" si="1"/>
        <v>2057</v>
      </c>
      <c r="S50" s="85">
        <f t="shared" si="4"/>
        <v>6.8000000000000007</v>
      </c>
      <c r="T50" s="87">
        <f t="shared" si="5"/>
        <v>0.58838632646657008</v>
      </c>
    </row>
    <row r="51" spans="10:20" x14ac:dyDescent="0.25">
      <c r="J51" s="85">
        <f t="shared" si="1"/>
        <v>2058</v>
      </c>
      <c r="S51" s="85">
        <f t="shared" si="4"/>
        <v>6.8000000000000007</v>
      </c>
      <c r="T51" s="87">
        <f t="shared" si="5"/>
        <v>0.5550814400628018</v>
      </c>
    </row>
    <row r="52" spans="10:20" x14ac:dyDescent="0.25">
      <c r="J52" s="85">
        <f t="shared" si="1"/>
        <v>2059</v>
      </c>
      <c r="S52" s="85">
        <f t="shared" si="4"/>
        <v>6.8000000000000007</v>
      </c>
      <c r="T52" s="87">
        <f t="shared" si="5"/>
        <v>0.52366173590830356</v>
      </c>
    </row>
    <row r="53" spans="10:20" x14ac:dyDescent="0.25">
      <c r="J53" s="85">
        <f t="shared" si="1"/>
        <v>2060</v>
      </c>
      <c r="S53" s="85">
        <f t="shared" si="4"/>
        <v>6.8000000000000007</v>
      </c>
      <c r="T53" s="87">
        <f t="shared" si="5"/>
        <v>0.49402050557387128</v>
      </c>
    </row>
    <row r="54" spans="10:20" x14ac:dyDescent="0.25">
      <c r="T54" s="87">
        <f>SUM(T9:T53)</f>
        <v>105.09965824043539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H8" sqref="H8"/>
    </sheetView>
  </sheetViews>
  <sheetFormatPr defaultRowHeight="15" x14ac:dyDescent="0.25"/>
  <cols>
    <col min="1" max="1" width="3.5703125" style="85" customWidth="1"/>
    <col min="2" max="2" width="29" style="85" customWidth="1"/>
    <col min="3" max="3" width="11.85546875" style="85" customWidth="1"/>
    <col min="4" max="256" width="9.140625" style="85"/>
    <col min="257" max="257" width="3.5703125" style="85" customWidth="1"/>
    <col min="258" max="258" width="29" style="85" customWidth="1"/>
    <col min="259" max="259" width="11.85546875" style="85" customWidth="1"/>
    <col min="260" max="512" width="9.140625" style="85"/>
    <col min="513" max="513" width="3.5703125" style="85" customWidth="1"/>
    <col min="514" max="514" width="29" style="85" customWidth="1"/>
    <col min="515" max="515" width="11.85546875" style="85" customWidth="1"/>
    <col min="516" max="768" width="9.140625" style="85"/>
    <col min="769" max="769" width="3.5703125" style="85" customWidth="1"/>
    <col min="770" max="770" width="29" style="85" customWidth="1"/>
    <col min="771" max="771" width="11.85546875" style="85" customWidth="1"/>
    <col min="772" max="1024" width="9.140625" style="85"/>
    <col min="1025" max="1025" width="3.5703125" style="85" customWidth="1"/>
    <col min="1026" max="1026" width="29" style="85" customWidth="1"/>
    <col min="1027" max="1027" width="11.85546875" style="85" customWidth="1"/>
    <col min="1028" max="1280" width="9.140625" style="85"/>
    <col min="1281" max="1281" width="3.5703125" style="85" customWidth="1"/>
    <col min="1282" max="1282" width="29" style="85" customWidth="1"/>
    <col min="1283" max="1283" width="11.85546875" style="85" customWidth="1"/>
    <col min="1284" max="1536" width="9.140625" style="85"/>
    <col min="1537" max="1537" width="3.5703125" style="85" customWidth="1"/>
    <col min="1538" max="1538" width="29" style="85" customWidth="1"/>
    <col min="1539" max="1539" width="11.85546875" style="85" customWidth="1"/>
    <col min="1540" max="1792" width="9.140625" style="85"/>
    <col min="1793" max="1793" width="3.5703125" style="85" customWidth="1"/>
    <col min="1794" max="1794" width="29" style="85" customWidth="1"/>
    <col min="1795" max="1795" width="11.85546875" style="85" customWidth="1"/>
    <col min="1796" max="2048" width="9.140625" style="85"/>
    <col min="2049" max="2049" width="3.5703125" style="85" customWidth="1"/>
    <col min="2050" max="2050" width="29" style="85" customWidth="1"/>
    <col min="2051" max="2051" width="11.85546875" style="85" customWidth="1"/>
    <col min="2052" max="2304" width="9.140625" style="85"/>
    <col min="2305" max="2305" width="3.5703125" style="85" customWidth="1"/>
    <col min="2306" max="2306" width="29" style="85" customWidth="1"/>
    <col min="2307" max="2307" width="11.85546875" style="85" customWidth="1"/>
    <col min="2308" max="2560" width="9.140625" style="85"/>
    <col min="2561" max="2561" width="3.5703125" style="85" customWidth="1"/>
    <col min="2562" max="2562" width="29" style="85" customWidth="1"/>
    <col min="2563" max="2563" width="11.85546875" style="85" customWidth="1"/>
    <col min="2564" max="2816" width="9.140625" style="85"/>
    <col min="2817" max="2817" width="3.5703125" style="85" customWidth="1"/>
    <col min="2818" max="2818" width="29" style="85" customWidth="1"/>
    <col min="2819" max="2819" width="11.85546875" style="85" customWidth="1"/>
    <col min="2820" max="3072" width="9.140625" style="85"/>
    <col min="3073" max="3073" width="3.5703125" style="85" customWidth="1"/>
    <col min="3074" max="3074" width="29" style="85" customWidth="1"/>
    <col min="3075" max="3075" width="11.85546875" style="85" customWidth="1"/>
    <col min="3076" max="3328" width="9.140625" style="85"/>
    <col min="3329" max="3329" width="3.5703125" style="85" customWidth="1"/>
    <col min="3330" max="3330" width="29" style="85" customWidth="1"/>
    <col min="3331" max="3331" width="11.85546875" style="85" customWidth="1"/>
    <col min="3332" max="3584" width="9.140625" style="85"/>
    <col min="3585" max="3585" width="3.5703125" style="85" customWidth="1"/>
    <col min="3586" max="3586" width="29" style="85" customWidth="1"/>
    <col min="3587" max="3587" width="11.85546875" style="85" customWidth="1"/>
    <col min="3588" max="3840" width="9.140625" style="85"/>
    <col min="3841" max="3841" width="3.5703125" style="85" customWidth="1"/>
    <col min="3842" max="3842" width="29" style="85" customWidth="1"/>
    <col min="3843" max="3843" width="11.85546875" style="85" customWidth="1"/>
    <col min="3844" max="4096" width="9.140625" style="85"/>
    <col min="4097" max="4097" width="3.5703125" style="85" customWidth="1"/>
    <col min="4098" max="4098" width="29" style="85" customWidth="1"/>
    <col min="4099" max="4099" width="11.85546875" style="85" customWidth="1"/>
    <col min="4100" max="4352" width="9.140625" style="85"/>
    <col min="4353" max="4353" width="3.5703125" style="85" customWidth="1"/>
    <col min="4354" max="4354" width="29" style="85" customWidth="1"/>
    <col min="4355" max="4355" width="11.85546875" style="85" customWidth="1"/>
    <col min="4356" max="4608" width="9.140625" style="85"/>
    <col min="4609" max="4609" width="3.5703125" style="85" customWidth="1"/>
    <col min="4610" max="4610" width="29" style="85" customWidth="1"/>
    <col min="4611" max="4611" width="11.85546875" style="85" customWidth="1"/>
    <col min="4612" max="4864" width="9.140625" style="85"/>
    <col min="4865" max="4865" width="3.5703125" style="85" customWidth="1"/>
    <col min="4866" max="4866" width="29" style="85" customWidth="1"/>
    <col min="4867" max="4867" width="11.85546875" style="85" customWidth="1"/>
    <col min="4868" max="5120" width="9.140625" style="85"/>
    <col min="5121" max="5121" width="3.5703125" style="85" customWidth="1"/>
    <col min="5122" max="5122" width="29" style="85" customWidth="1"/>
    <col min="5123" max="5123" width="11.85546875" style="85" customWidth="1"/>
    <col min="5124" max="5376" width="9.140625" style="85"/>
    <col min="5377" max="5377" width="3.5703125" style="85" customWidth="1"/>
    <col min="5378" max="5378" width="29" style="85" customWidth="1"/>
    <col min="5379" max="5379" width="11.85546875" style="85" customWidth="1"/>
    <col min="5380" max="5632" width="9.140625" style="85"/>
    <col min="5633" max="5633" width="3.5703125" style="85" customWidth="1"/>
    <col min="5634" max="5634" width="29" style="85" customWidth="1"/>
    <col min="5635" max="5635" width="11.85546875" style="85" customWidth="1"/>
    <col min="5636" max="5888" width="9.140625" style="85"/>
    <col min="5889" max="5889" width="3.5703125" style="85" customWidth="1"/>
    <col min="5890" max="5890" width="29" style="85" customWidth="1"/>
    <col min="5891" max="5891" width="11.85546875" style="85" customWidth="1"/>
    <col min="5892" max="6144" width="9.140625" style="85"/>
    <col min="6145" max="6145" width="3.5703125" style="85" customWidth="1"/>
    <col min="6146" max="6146" width="29" style="85" customWidth="1"/>
    <col min="6147" max="6147" width="11.85546875" style="85" customWidth="1"/>
    <col min="6148" max="6400" width="9.140625" style="85"/>
    <col min="6401" max="6401" width="3.5703125" style="85" customWidth="1"/>
    <col min="6402" max="6402" width="29" style="85" customWidth="1"/>
    <col min="6403" max="6403" width="11.85546875" style="85" customWidth="1"/>
    <col min="6404" max="6656" width="9.140625" style="85"/>
    <col min="6657" max="6657" width="3.5703125" style="85" customWidth="1"/>
    <col min="6658" max="6658" width="29" style="85" customWidth="1"/>
    <col min="6659" max="6659" width="11.85546875" style="85" customWidth="1"/>
    <col min="6660" max="6912" width="9.140625" style="85"/>
    <col min="6913" max="6913" width="3.5703125" style="85" customWidth="1"/>
    <col min="6914" max="6914" width="29" style="85" customWidth="1"/>
    <col min="6915" max="6915" width="11.85546875" style="85" customWidth="1"/>
    <col min="6916" max="7168" width="9.140625" style="85"/>
    <col min="7169" max="7169" width="3.5703125" style="85" customWidth="1"/>
    <col min="7170" max="7170" width="29" style="85" customWidth="1"/>
    <col min="7171" max="7171" width="11.85546875" style="85" customWidth="1"/>
    <col min="7172" max="7424" width="9.140625" style="85"/>
    <col min="7425" max="7425" width="3.5703125" style="85" customWidth="1"/>
    <col min="7426" max="7426" width="29" style="85" customWidth="1"/>
    <col min="7427" max="7427" width="11.85546875" style="85" customWidth="1"/>
    <col min="7428" max="7680" width="9.140625" style="85"/>
    <col min="7681" max="7681" width="3.5703125" style="85" customWidth="1"/>
    <col min="7682" max="7682" width="29" style="85" customWidth="1"/>
    <col min="7683" max="7683" width="11.85546875" style="85" customWidth="1"/>
    <col min="7684" max="7936" width="9.140625" style="85"/>
    <col min="7937" max="7937" width="3.5703125" style="85" customWidth="1"/>
    <col min="7938" max="7938" width="29" style="85" customWidth="1"/>
    <col min="7939" max="7939" width="11.85546875" style="85" customWidth="1"/>
    <col min="7940" max="8192" width="9.140625" style="85"/>
    <col min="8193" max="8193" width="3.5703125" style="85" customWidth="1"/>
    <col min="8194" max="8194" width="29" style="85" customWidth="1"/>
    <col min="8195" max="8195" width="11.85546875" style="85" customWidth="1"/>
    <col min="8196" max="8448" width="9.140625" style="85"/>
    <col min="8449" max="8449" width="3.5703125" style="85" customWidth="1"/>
    <col min="8450" max="8450" width="29" style="85" customWidth="1"/>
    <col min="8451" max="8451" width="11.85546875" style="85" customWidth="1"/>
    <col min="8452" max="8704" width="9.140625" style="85"/>
    <col min="8705" max="8705" width="3.5703125" style="85" customWidth="1"/>
    <col min="8706" max="8706" width="29" style="85" customWidth="1"/>
    <col min="8707" max="8707" width="11.85546875" style="85" customWidth="1"/>
    <col min="8708" max="8960" width="9.140625" style="85"/>
    <col min="8961" max="8961" width="3.5703125" style="85" customWidth="1"/>
    <col min="8962" max="8962" width="29" style="85" customWidth="1"/>
    <col min="8963" max="8963" width="11.85546875" style="85" customWidth="1"/>
    <col min="8964" max="9216" width="9.140625" style="85"/>
    <col min="9217" max="9217" width="3.5703125" style="85" customWidth="1"/>
    <col min="9218" max="9218" width="29" style="85" customWidth="1"/>
    <col min="9219" max="9219" width="11.85546875" style="85" customWidth="1"/>
    <col min="9220" max="9472" width="9.140625" style="85"/>
    <col min="9473" max="9473" width="3.5703125" style="85" customWidth="1"/>
    <col min="9474" max="9474" width="29" style="85" customWidth="1"/>
    <col min="9475" max="9475" width="11.85546875" style="85" customWidth="1"/>
    <col min="9476" max="9728" width="9.140625" style="85"/>
    <col min="9729" max="9729" width="3.5703125" style="85" customWidth="1"/>
    <col min="9730" max="9730" width="29" style="85" customWidth="1"/>
    <col min="9731" max="9731" width="11.85546875" style="85" customWidth="1"/>
    <col min="9732" max="9984" width="9.140625" style="85"/>
    <col min="9985" max="9985" width="3.5703125" style="85" customWidth="1"/>
    <col min="9986" max="9986" width="29" style="85" customWidth="1"/>
    <col min="9987" max="9987" width="11.85546875" style="85" customWidth="1"/>
    <col min="9988" max="10240" width="9.140625" style="85"/>
    <col min="10241" max="10241" width="3.5703125" style="85" customWidth="1"/>
    <col min="10242" max="10242" width="29" style="85" customWidth="1"/>
    <col min="10243" max="10243" width="11.85546875" style="85" customWidth="1"/>
    <col min="10244" max="10496" width="9.140625" style="85"/>
    <col min="10497" max="10497" width="3.5703125" style="85" customWidth="1"/>
    <col min="10498" max="10498" width="29" style="85" customWidth="1"/>
    <col min="10499" max="10499" width="11.85546875" style="85" customWidth="1"/>
    <col min="10500" max="10752" width="9.140625" style="85"/>
    <col min="10753" max="10753" width="3.5703125" style="85" customWidth="1"/>
    <col min="10754" max="10754" width="29" style="85" customWidth="1"/>
    <col min="10755" max="10755" width="11.85546875" style="85" customWidth="1"/>
    <col min="10756" max="11008" width="9.140625" style="85"/>
    <col min="11009" max="11009" width="3.5703125" style="85" customWidth="1"/>
    <col min="11010" max="11010" width="29" style="85" customWidth="1"/>
    <col min="11011" max="11011" width="11.85546875" style="85" customWidth="1"/>
    <col min="11012" max="11264" width="9.140625" style="85"/>
    <col min="11265" max="11265" width="3.5703125" style="85" customWidth="1"/>
    <col min="11266" max="11266" width="29" style="85" customWidth="1"/>
    <col min="11267" max="11267" width="11.85546875" style="85" customWidth="1"/>
    <col min="11268" max="11520" width="9.140625" style="85"/>
    <col min="11521" max="11521" width="3.5703125" style="85" customWidth="1"/>
    <col min="11522" max="11522" width="29" style="85" customWidth="1"/>
    <col min="11523" max="11523" width="11.85546875" style="85" customWidth="1"/>
    <col min="11524" max="11776" width="9.140625" style="85"/>
    <col min="11777" max="11777" width="3.5703125" style="85" customWidth="1"/>
    <col min="11778" max="11778" width="29" style="85" customWidth="1"/>
    <col min="11779" max="11779" width="11.85546875" style="85" customWidth="1"/>
    <col min="11780" max="12032" width="9.140625" style="85"/>
    <col min="12033" max="12033" width="3.5703125" style="85" customWidth="1"/>
    <col min="12034" max="12034" width="29" style="85" customWidth="1"/>
    <col min="12035" max="12035" width="11.85546875" style="85" customWidth="1"/>
    <col min="12036" max="12288" width="9.140625" style="85"/>
    <col min="12289" max="12289" width="3.5703125" style="85" customWidth="1"/>
    <col min="12290" max="12290" width="29" style="85" customWidth="1"/>
    <col min="12291" max="12291" width="11.85546875" style="85" customWidth="1"/>
    <col min="12292" max="12544" width="9.140625" style="85"/>
    <col min="12545" max="12545" width="3.5703125" style="85" customWidth="1"/>
    <col min="12546" max="12546" width="29" style="85" customWidth="1"/>
    <col min="12547" max="12547" width="11.85546875" style="85" customWidth="1"/>
    <col min="12548" max="12800" width="9.140625" style="85"/>
    <col min="12801" max="12801" width="3.5703125" style="85" customWidth="1"/>
    <col min="12802" max="12802" width="29" style="85" customWidth="1"/>
    <col min="12803" max="12803" width="11.85546875" style="85" customWidth="1"/>
    <col min="12804" max="13056" width="9.140625" style="85"/>
    <col min="13057" max="13057" width="3.5703125" style="85" customWidth="1"/>
    <col min="13058" max="13058" width="29" style="85" customWidth="1"/>
    <col min="13059" max="13059" width="11.85546875" style="85" customWidth="1"/>
    <col min="13060" max="13312" width="9.140625" style="85"/>
    <col min="13313" max="13313" width="3.5703125" style="85" customWidth="1"/>
    <col min="13314" max="13314" width="29" style="85" customWidth="1"/>
    <col min="13315" max="13315" width="11.85546875" style="85" customWidth="1"/>
    <col min="13316" max="13568" width="9.140625" style="85"/>
    <col min="13569" max="13569" width="3.5703125" style="85" customWidth="1"/>
    <col min="13570" max="13570" width="29" style="85" customWidth="1"/>
    <col min="13571" max="13571" width="11.85546875" style="85" customWidth="1"/>
    <col min="13572" max="13824" width="9.140625" style="85"/>
    <col min="13825" max="13825" width="3.5703125" style="85" customWidth="1"/>
    <col min="13826" max="13826" width="29" style="85" customWidth="1"/>
    <col min="13827" max="13827" width="11.85546875" style="85" customWidth="1"/>
    <col min="13828" max="14080" width="9.140625" style="85"/>
    <col min="14081" max="14081" width="3.5703125" style="85" customWidth="1"/>
    <col min="14082" max="14082" width="29" style="85" customWidth="1"/>
    <col min="14083" max="14083" width="11.85546875" style="85" customWidth="1"/>
    <col min="14084" max="14336" width="9.140625" style="85"/>
    <col min="14337" max="14337" width="3.5703125" style="85" customWidth="1"/>
    <col min="14338" max="14338" width="29" style="85" customWidth="1"/>
    <col min="14339" max="14339" width="11.85546875" style="85" customWidth="1"/>
    <col min="14340" max="14592" width="9.140625" style="85"/>
    <col min="14593" max="14593" width="3.5703125" style="85" customWidth="1"/>
    <col min="14594" max="14594" width="29" style="85" customWidth="1"/>
    <col min="14595" max="14595" width="11.85546875" style="85" customWidth="1"/>
    <col min="14596" max="14848" width="9.140625" style="85"/>
    <col min="14849" max="14849" width="3.5703125" style="85" customWidth="1"/>
    <col min="14850" max="14850" width="29" style="85" customWidth="1"/>
    <col min="14851" max="14851" width="11.85546875" style="85" customWidth="1"/>
    <col min="14852" max="15104" width="9.140625" style="85"/>
    <col min="15105" max="15105" width="3.5703125" style="85" customWidth="1"/>
    <col min="15106" max="15106" width="29" style="85" customWidth="1"/>
    <col min="15107" max="15107" width="11.85546875" style="85" customWidth="1"/>
    <col min="15108" max="15360" width="9.140625" style="85"/>
    <col min="15361" max="15361" width="3.5703125" style="85" customWidth="1"/>
    <col min="15362" max="15362" width="29" style="85" customWidth="1"/>
    <col min="15363" max="15363" width="11.85546875" style="85" customWidth="1"/>
    <col min="15364" max="15616" width="9.140625" style="85"/>
    <col min="15617" max="15617" width="3.5703125" style="85" customWidth="1"/>
    <col min="15618" max="15618" width="29" style="85" customWidth="1"/>
    <col min="15619" max="15619" width="11.85546875" style="85" customWidth="1"/>
    <col min="15620" max="15872" width="9.140625" style="85"/>
    <col min="15873" max="15873" width="3.5703125" style="85" customWidth="1"/>
    <col min="15874" max="15874" width="29" style="85" customWidth="1"/>
    <col min="15875" max="15875" width="11.85546875" style="85" customWidth="1"/>
    <col min="15876" max="16128" width="9.140625" style="85"/>
    <col min="16129" max="16129" width="3.5703125" style="85" customWidth="1"/>
    <col min="16130" max="16130" width="29" style="85" customWidth="1"/>
    <col min="16131" max="16131" width="11.85546875" style="85" customWidth="1"/>
    <col min="16132" max="16384" width="9.140625" style="85"/>
  </cols>
  <sheetData>
    <row r="1" spans="1:15" ht="18.75" x14ac:dyDescent="0.3">
      <c r="A1" s="232"/>
      <c r="B1" s="230"/>
      <c r="C1" s="231" t="s">
        <v>109</v>
      </c>
      <c r="D1" s="230"/>
      <c r="E1" s="230"/>
      <c r="F1" s="230"/>
      <c r="G1" s="230"/>
      <c r="H1" s="229"/>
    </row>
    <row r="2" spans="1:15" ht="18.75" x14ac:dyDescent="0.3">
      <c r="A2" s="208"/>
      <c r="B2" s="228" t="s">
        <v>265</v>
      </c>
      <c r="C2" s="211"/>
      <c r="D2" s="211"/>
      <c r="E2" s="211"/>
      <c r="F2" s="211"/>
      <c r="G2" s="211"/>
      <c r="H2" s="206"/>
      <c r="J2" s="95">
        <f>[3]HQ500!J2</f>
        <v>1.2800000000000001E-2</v>
      </c>
    </row>
    <row r="3" spans="1:15" x14ac:dyDescent="0.25">
      <c r="A3" s="208"/>
      <c r="B3" s="211"/>
      <c r="C3" s="211"/>
      <c r="D3" s="211"/>
      <c r="E3" s="211"/>
      <c r="F3" s="211"/>
      <c r="G3" s="211"/>
      <c r="H3" s="206"/>
      <c r="K3" s="85" t="s">
        <v>110</v>
      </c>
      <c r="N3" s="85" t="s">
        <v>111</v>
      </c>
    </row>
    <row r="4" spans="1:15" x14ac:dyDescent="0.25">
      <c r="A4" s="208"/>
      <c r="B4" s="211"/>
      <c r="C4" s="211"/>
      <c r="D4" s="211" t="s">
        <v>112</v>
      </c>
      <c r="E4" s="211" t="s">
        <v>113</v>
      </c>
      <c r="F4" s="211" t="s">
        <v>114</v>
      </c>
      <c r="G4" s="211" t="s">
        <v>115</v>
      </c>
      <c r="H4" s="206"/>
      <c r="K4" s="86" t="s">
        <v>116</v>
      </c>
      <c r="L4" s="86">
        <v>2015</v>
      </c>
    </row>
    <row r="5" spans="1:15" x14ac:dyDescent="0.25">
      <c r="A5" s="220" t="s">
        <v>117</v>
      </c>
      <c r="B5" s="211"/>
      <c r="C5" s="211"/>
      <c r="D5" s="211"/>
      <c r="E5" s="211"/>
      <c r="F5" s="211"/>
      <c r="G5" s="211"/>
      <c r="H5" s="206"/>
      <c r="J5" s="85">
        <v>2015</v>
      </c>
      <c r="K5" s="87">
        <f>F25</f>
        <v>19.128400238993287</v>
      </c>
      <c r="L5" s="87"/>
      <c r="N5" s="87">
        <f>F36</f>
        <v>22.215599761006715</v>
      </c>
    </row>
    <row r="6" spans="1:15" x14ac:dyDescent="0.25">
      <c r="A6" s="208"/>
      <c r="B6" s="211" t="s">
        <v>118</v>
      </c>
      <c r="C6" s="211"/>
      <c r="D6" s="227" t="s">
        <v>119</v>
      </c>
      <c r="E6" s="227" t="s">
        <v>120</v>
      </c>
      <c r="F6" s="227" t="s">
        <v>121</v>
      </c>
      <c r="G6" s="211"/>
      <c r="H6" s="226" t="s">
        <v>122</v>
      </c>
      <c r="J6" s="85">
        <f t="shared" ref="J6:J40" si="0">J5+1</f>
        <v>2016</v>
      </c>
      <c r="K6" s="87">
        <f>K5*(1+$I$26)</f>
        <v>19.32131015540353</v>
      </c>
      <c r="L6" s="87">
        <f>K6/(1.06^(J6-J$5))</f>
        <v>18.227651090003331</v>
      </c>
      <c r="N6" s="87">
        <f t="shared" ref="N6:N40" si="1">N5*(1+$N$42)</f>
        <v>22.547500821436152</v>
      </c>
      <c r="O6" s="88">
        <f>N6/(1.06^(J6-J$5))</f>
        <v>21.271227190034104</v>
      </c>
    </row>
    <row r="7" spans="1:15" x14ac:dyDescent="0.25">
      <c r="A7" s="208"/>
      <c r="B7" s="211" t="s">
        <v>123</v>
      </c>
      <c r="C7" s="212">
        <v>1</v>
      </c>
      <c r="D7" s="211"/>
      <c r="E7" s="211">
        <v>75</v>
      </c>
      <c r="F7" s="221">
        <f>450+600</f>
        <v>1050</v>
      </c>
      <c r="G7" s="211"/>
      <c r="H7" s="206"/>
      <c r="J7" s="85">
        <f t="shared" si="0"/>
        <v>2017</v>
      </c>
      <c r="K7" s="87">
        <f>K6*(1+I$26)</f>
        <v>19.516165568320773</v>
      </c>
      <c r="L7" s="87">
        <f t="shared" ref="L7:L40" si="2">K7/(1.06^(J7-J$5))</f>
        <v>17.36931787853397</v>
      </c>
      <c r="N7" s="87">
        <f t="shared" si="1"/>
        <v>22.884360483708406</v>
      </c>
      <c r="O7" s="88">
        <f t="shared" ref="O7:O40" si="3">N7/(1.06^(J7-J$5))</f>
        <v>20.36699936250303</v>
      </c>
    </row>
    <row r="8" spans="1:15" x14ac:dyDescent="0.25">
      <c r="A8" s="208"/>
      <c r="B8" s="89" t="s">
        <v>124</v>
      </c>
      <c r="C8" s="92">
        <v>2</v>
      </c>
      <c r="D8" s="89"/>
      <c r="E8" s="89"/>
      <c r="F8" s="89">
        <v>150</v>
      </c>
      <c r="G8" s="89"/>
      <c r="H8" s="286">
        <v>292</v>
      </c>
      <c r="J8" s="85">
        <f t="shared" si="0"/>
        <v>2018</v>
      </c>
      <c r="K8" s="87">
        <f t="shared" ref="K8:K40" si="4">K7*(1+I$26)</f>
        <v>19.712986098077284</v>
      </c>
      <c r="L8" s="87">
        <f t="shared" si="2"/>
        <v>16.55140325409338</v>
      </c>
      <c r="N8" s="87">
        <f t="shared" si="1"/>
        <v>23.226252829335007</v>
      </c>
      <c r="O8" s="88">
        <f t="shared" si="3"/>
        <v>19.501209748093224</v>
      </c>
    </row>
    <row r="9" spans="1:15" x14ac:dyDescent="0.25">
      <c r="A9" s="208"/>
      <c r="B9" s="90" t="s">
        <v>125</v>
      </c>
      <c r="C9" s="212" t="s">
        <v>218</v>
      </c>
      <c r="D9" s="211"/>
      <c r="E9" s="211">
        <f>E7</f>
        <v>75</v>
      </c>
      <c r="F9" s="221">
        <f>F7-F8-H8</f>
        <v>608</v>
      </c>
      <c r="G9" s="211"/>
      <c r="H9" s="206"/>
      <c r="J9" s="85">
        <f t="shared" si="0"/>
        <v>2019</v>
      </c>
      <c r="K9" s="87">
        <f t="shared" si="4"/>
        <v>19.911791562876392</v>
      </c>
      <c r="L9" s="87">
        <f t="shared" si="2"/>
        <v>15.772003920670668</v>
      </c>
      <c r="N9" s="87">
        <f t="shared" si="1"/>
        <v>23.57325304660527</v>
      </c>
      <c r="O9" s="88">
        <f t="shared" si="3"/>
        <v>18.672224360122392</v>
      </c>
    </row>
    <row r="10" spans="1:15" x14ac:dyDescent="0.25">
      <c r="A10" s="208"/>
      <c r="B10" s="211"/>
      <c r="C10" s="211"/>
      <c r="D10" s="211"/>
      <c r="E10" s="211"/>
      <c r="F10" s="211"/>
      <c r="G10" s="211"/>
      <c r="H10" s="206"/>
      <c r="J10" s="85">
        <f t="shared" si="0"/>
        <v>2020</v>
      </c>
      <c r="K10" s="87">
        <f t="shared" si="4"/>
        <v>20.112601980788</v>
      </c>
      <c r="L10" s="87">
        <f t="shared" si="2"/>
        <v>15.029306207745877</v>
      </c>
      <c r="N10" s="87">
        <f t="shared" si="1"/>
        <v>23.925437447121553</v>
      </c>
      <c r="O10" s="88">
        <f t="shared" si="3"/>
        <v>17.87847867175719</v>
      </c>
    </row>
    <row r="11" spans="1:15" x14ac:dyDescent="0.25">
      <c r="A11" s="220" t="s">
        <v>126</v>
      </c>
      <c r="B11" s="211"/>
      <c r="C11" s="211"/>
      <c r="D11" s="211"/>
      <c r="E11" s="211"/>
      <c r="F11" s="211"/>
      <c r="G11" s="211"/>
      <c r="H11" s="206"/>
      <c r="J11" s="85">
        <f t="shared" si="0"/>
        <v>2021</v>
      </c>
      <c r="K11" s="87">
        <f t="shared" si="4"/>
        <v>20.315437571764246</v>
      </c>
      <c r="L11" s="87">
        <f t="shared" si="2"/>
        <v>14.321581849859427</v>
      </c>
      <c r="N11" s="87">
        <f t="shared" si="1"/>
        <v>24.282883482581546</v>
      </c>
      <c r="O11" s="88">
        <f t="shared" si="3"/>
        <v>17.118474663314377</v>
      </c>
    </row>
    <row r="12" spans="1:15" x14ac:dyDescent="0.25">
      <c r="A12" s="208"/>
      <c r="B12" s="211" t="s">
        <v>217</v>
      </c>
      <c r="C12" s="212" t="s">
        <v>216</v>
      </c>
      <c r="D12" s="217">
        <v>80.5</v>
      </c>
      <c r="E12" s="217">
        <f>D12*1.013^5+E$9*0.068</f>
        <v>90.970325110691547</v>
      </c>
      <c r="F12" s="217">
        <f>E12*(1+J2)^7+F$9*0.068</f>
        <v>140.7850257589906</v>
      </c>
      <c r="G12" s="217">
        <f>F12*(1+J2)^35+G$9*0.068</f>
        <v>219.72815455868704</v>
      </c>
      <c r="H12" s="206"/>
      <c r="J12" s="85">
        <f t="shared" si="0"/>
        <v>2022</v>
      </c>
      <c r="K12" s="87">
        <f t="shared" si="4"/>
        <v>20.520318759675487</v>
      </c>
      <c r="L12" s="87">
        <f t="shared" si="2"/>
        <v>13.647183964920053</v>
      </c>
      <c r="N12" s="87">
        <f t="shared" si="1"/>
        <v>24.645669761811313</v>
      </c>
      <c r="O12" s="88">
        <f t="shared" si="3"/>
        <v>16.390777995079517</v>
      </c>
    </row>
    <row r="13" spans="1:15" x14ac:dyDescent="0.25">
      <c r="A13" s="208"/>
      <c r="B13" s="225"/>
      <c r="C13" s="211"/>
      <c r="D13" s="211"/>
      <c r="E13" s="211"/>
      <c r="F13" s="211"/>
      <c r="G13" s="211"/>
      <c r="H13" s="206"/>
      <c r="J13" s="85">
        <f t="shared" si="0"/>
        <v>2023</v>
      </c>
      <c r="K13" s="87">
        <f t="shared" si="4"/>
        <v>20.727266174366811</v>
      </c>
      <c r="L13" s="87">
        <f t="shared" si="2"/>
        <v>13.004543221892709</v>
      </c>
      <c r="N13" s="87">
        <f t="shared" si="1"/>
        <v>25.013876068052774</v>
      </c>
      <c r="O13" s="88">
        <f t="shared" si="3"/>
        <v>15.694015300307553</v>
      </c>
    </row>
    <row r="14" spans="1:15" x14ac:dyDescent="0.25">
      <c r="A14" s="220" t="s">
        <v>127</v>
      </c>
      <c r="B14" s="211"/>
      <c r="C14" s="218"/>
      <c r="D14" s="211"/>
      <c r="E14" s="211"/>
      <c r="F14" s="211"/>
      <c r="G14" s="211"/>
      <c r="H14" s="206"/>
      <c r="J14" s="85">
        <f t="shared" si="0"/>
        <v>2024</v>
      </c>
      <c r="K14" s="87">
        <f t="shared" si="4"/>
        <v>20.936300653735298</v>
      </c>
      <c r="L14" s="87">
        <f t="shared" si="2"/>
        <v>12.392164188948581</v>
      </c>
      <c r="N14" s="87">
        <f t="shared" si="1"/>
        <v>25.387583376509482</v>
      </c>
      <c r="O14" s="88">
        <f t="shared" si="3"/>
        <v>15.026871593296367</v>
      </c>
    </row>
    <row r="15" spans="1:15" x14ac:dyDescent="0.25">
      <c r="A15" s="208"/>
      <c r="B15" s="211" t="s">
        <v>128</v>
      </c>
      <c r="C15" s="212">
        <v>5</v>
      </c>
      <c r="D15" s="211">
        <v>2100</v>
      </c>
      <c r="E15" s="211">
        <v>2100</v>
      </c>
      <c r="F15" s="211">
        <v>1900</v>
      </c>
      <c r="G15" s="210">
        <f>F15*1.005^35</f>
        <v>2262.381091705955</v>
      </c>
      <c r="H15" s="206"/>
      <c r="J15" s="85">
        <f t="shared" si="0"/>
        <v>2025</v>
      </c>
      <c r="K15" s="87">
        <f t="shared" si="4"/>
        <v>21.147443245828217</v>
      </c>
      <c r="L15" s="87">
        <f t="shared" si="2"/>
        <v>11.808621853579364</v>
      </c>
      <c r="N15" s="87">
        <f t="shared" si="1"/>
        <v>25.766873872154534</v>
      </c>
      <c r="O15" s="88">
        <f t="shared" si="3"/>
        <v>14.388087787641711</v>
      </c>
    </row>
    <row r="16" spans="1:15" x14ac:dyDescent="0.25">
      <c r="A16" s="208"/>
      <c r="B16" s="211" t="s">
        <v>129</v>
      </c>
      <c r="C16" s="212">
        <v>6</v>
      </c>
      <c r="D16" s="211">
        <v>720</v>
      </c>
      <c r="E16" s="211">
        <v>1080</v>
      </c>
      <c r="F16" s="211">
        <v>1580</v>
      </c>
      <c r="G16" s="211">
        <v>1580</v>
      </c>
      <c r="H16" s="206"/>
      <c r="J16" s="85">
        <f t="shared" si="0"/>
        <v>2026</v>
      </c>
      <c r="K16" s="87">
        <f t="shared" si="4"/>
        <v>21.360715210962393</v>
      </c>
      <c r="L16" s="87">
        <f t="shared" si="2"/>
        <v>11.252558306578027</v>
      </c>
      <c r="N16" s="87">
        <f t="shared" si="1"/>
        <v>26.151830967804521</v>
      </c>
      <c r="O16" s="88">
        <f t="shared" si="3"/>
        <v>13.776458319989693</v>
      </c>
    </row>
    <row r="17" spans="1:15" x14ac:dyDescent="0.25">
      <c r="A17" s="208"/>
      <c r="B17" s="89" t="s">
        <v>130</v>
      </c>
      <c r="C17" s="92">
        <v>7</v>
      </c>
      <c r="D17" s="89">
        <v>300</v>
      </c>
      <c r="E17" s="89">
        <v>250</v>
      </c>
      <c r="F17" s="89">
        <v>200</v>
      </c>
      <c r="G17" s="89">
        <v>200</v>
      </c>
      <c r="H17" s="206"/>
      <c r="J17" s="85">
        <f t="shared" si="0"/>
        <v>2027</v>
      </c>
      <c r="K17" s="87">
        <f t="shared" si="4"/>
        <v>21.576138023864946</v>
      </c>
      <c r="L17" s="87">
        <f t="shared" si="2"/>
        <v>10.722679582169683</v>
      </c>
      <c r="N17" s="87">
        <f t="shared" si="1"/>
        <v>26.542539322463519</v>
      </c>
      <c r="O17" s="88">
        <f t="shared" si="3"/>
        <v>13.190828874802206</v>
      </c>
    </row>
    <row r="18" spans="1:15" x14ac:dyDescent="0.25">
      <c r="A18" s="208"/>
      <c r="B18" s="90" t="s">
        <v>131</v>
      </c>
      <c r="C18" s="94" t="s">
        <v>132</v>
      </c>
      <c r="D18" s="211">
        <f>SUM(D15:D17)</f>
        <v>3120</v>
      </c>
      <c r="E18" s="211">
        <f>SUM(E15:E17)</f>
        <v>3430</v>
      </c>
      <c r="F18" s="211">
        <f>SUM(F15:F17)</f>
        <v>3680</v>
      </c>
      <c r="G18" s="210">
        <f>SUM(G15:G17)</f>
        <v>4042.381091705955</v>
      </c>
      <c r="H18" s="206"/>
      <c r="J18" s="85">
        <f t="shared" si="0"/>
        <v>2028</v>
      </c>
      <c r="K18" s="87">
        <f t="shared" si="4"/>
        <v>21.793733375835622</v>
      </c>
      <c r="L18" s="87">
        <f t="shared" si="2"/>
        <v>10.217752646939493</v>
      </c>
      <c r="N18" s="87">
        <f t="shared" si="1"/>
        <v>26.939084859941122</v>
      </c>
      <c r="O18" s="88">
        <f t="shared" si="3"/>
        <v>12.630094205841271</v>
      </c>
    </row>
    <row r="19" spans="1:15" x14ac:dyDescent="0.25">
      <c r="A19" s="208"/>
      <c r="B19" s="211"/>
      <c r="C19" s="211"/>
      <c r="D19" s="211"/>
      <c r="E19" s="211"/>
      <c r="F19" s="211"/>
      <c r="G19" s="211"/>
      <c r="H19" s="206"/>
      <c r="J19" s="85">
        <f t="shared" si="0"/>
        <v>2029</v>
      </c>
      <c r="K19" s="87">
        <f t="shared" si="4"/>
        <v>22.013523176930921</v>
      </c>
      <c r="L19" s="87">
        <f t="shared" si="2"/>
        <v>9.7366025305508277</v>
      </c>
      <c r="N19" s="87">
        <f t="shared" si="1"/>
        <v>27.341554787748642</v>
      </c>
      <c r="O19" s="88">
        <f t="shared" si="3"/>
        <v>12.093196050260888</v>
      </c>
    </row>
    <row r="20" spans="1:15" x14ac:dyDescent="0.25">
      <c r="A20" s="220" t="s">
        <v>215</v>
      </c>
      <c r="B20" s="211"/>
      <c r="C20" s="211"/>
      <c r="D20" s="211"/>
      <c r="E20" s="211"/>
      <c r="F20" s="211"/>
      <c r="G20" s="211"/>
      <c r="H20" s="206"/>
      <c r="J20" s="85">
        <f t="shared" si="0"/>
        <v>2030</v>
      </c>
      <c r="K20" s="87">
        <f t="shared" si="4"/>
        <v>22.235529558170267</v>
      </c>
      <c r="L20" s="87">
        <f t="shared" si="2"/>
        <v>9.2781095915768184</v>
      </c>
      <c r="N20" s="87">
        <f t="shared" si="1"/>
        <v>27.750037616277606</v>
      </c>
      <c r="O20" s="88">
        <f t="shared" si="3"/>
        <v>11.579121131369604</v>
      </c>
    </row>
    <row r="21" spans="1:15" x14ac:dyDescent="0.25">
      <c r="A21" s="208"/>
      <c r="B21" s="211" t="s">
        <v>214</v>
      </c>
      <c r="C21" s="212" t="s">
        <v>133</v>
      </c>
      <c r="D21" s="217">
        <f>D12/D18*1000</f>
        <v>25.801282051282051</v>
      </c>
      <c r="E21" s="217">
        <f>E12/E18*1000</f>
        <v>26.521960673671003</v>
      </c>
      <c r="F21" s="217">
        <f>F12/F18*1000</f>
        <v>38.256800477986573</v>
      </c>
      <c r="G21" s="217">
        <f>G12/G18*1000</f>
        <v>54.356120705571065</v>
      </c>
      <c r="H21" s="206"/>
      <c r="J21" s="85">
        <f t="shared" si="0"/>
        <v>2031</v>
      </c>
      <c r="K21" s="87">
        <f t="shared" si="4"/>
        <v>22.459774873764413</v>
      </c>
      <c r="L21" s="87">
        <f t="shared" si="2"/>
        <v>8.8412069120828995</v>
      </c>
      <c r="N21" s="87">
        <f t="shared" si="1"/>
        <v>28.16462317826479</v>
      </c>
      <c r="O21" s="88">
        <f t="shared" si="3"/>
        <v>11.086899246294593</v>
      </c>
    </row>
    <row r="22" spans="1:15" x14ac:dyDescent="0.25">
      <c r="A22" s="208"/>
      <c r="B22" s="211"/>
      <c r="C22" s="211"/>
      <c r="D22" s="211"/>
      <c r="E22" s="211"/>
      <c r="F22" s="211"/>
      <c r="G22" s="211"/>
      <c r="H22" s="206"/>
      <c r="J22" s="85">
        <f t="shared" si="0"/>
        <v>2032</v>
      </c>
      <c r="K22" s="87">
        <f t="shared" si="4"/>
        <v>22.686281703366326</v>
      </c>
      <c r="L22" s="87">
        <f t="shared" si="2"/>
        <v>8.4248778148974104</v>
      </c>
      <c r="N22" s="87">
        <f t="shared" si="1"/>
        <v>28.585402648548065</v>
      </c>
      <c r="O22" s="88">
        <f t="shared" si="3"/>
        <v>10.615601434937956</v>
      </c>
    </row>
    <row r="23" spans="1:15" x14ac:dyDescent="0.25">
      <c r="A23" s="220" t="s">
        <v>213</v>
      </c>
      <c r="B23" s="211"/>
      <c r="C23" s="218"/>
      <c r="D23" s="211"/>
      <c r="E23" s="211"/>
      <c r="F23" s="211"/>
      <c r="G23" s="211"/>
      <c r="H23" s="206"/>
      <c r="J23" s="85">
        <f t="shared" si="0"/>
        <v>2033</v>
      </c>
      <c r="K23" s="87">
        <f t="shared" si="4"/>
        <v>22.915072854344775</v>
      </c>
      <c r="L23" s="87">
        <f t="shared" si="2"/>
        <v>8.0281534977930651</v>
      </c>
      <c r="N23" s="87">
        <f t="shared" si="1"/>
        <v>29.012468564117373</v>
      </c>
      <c r="O23" s="88">
        <f t="shared" si="3"/>
        <v>10.164338226769743</v>
      </c>
    </row>
    <row r="24" spans="1:15" x14ac:dyDescent="0.25">
      <c r="A24" s="208"/>
      <c r="B24" s="211" t="s">
        <v>135</v>
      </c>
      <c r="C24" s="212">
        <v>10</v>
      </c>
      <c r="D24" s="211"/>
      <c r="E24" s="211"/>
      <c r="F24" s="221">
        <v>500</v>
      </c>
      <c r="G24" s="221">
        <v>500</v>
      </c>
      <c r="H24" s="206"/>
      <c r="J24" s="85">
        <f t="shared" si="0"/>
        <v>2034</v>
      </c>
      <c r="K24" s="87">
        <f t="shared" si="4"/>
        <v>23.146171364080839</v>
      </c>
      <c r="L24" s="87">
        <f t="shared" si="2"/>
        <v>7.6501107790738745</v>
      </c>
      <c r="N24" s="87">
        <f t="shared" si="1"/>
        <v>29.445914844465285</v>
      </c>
      <c r="O24" s="88">
        <f t="shared" si="3"/>
        <v>9.7322579621487559</v>
      </c>
    </row>
    <row r="25" spans="1:15" x14ac:dyDescent="0.25">
      <c r="A25" s="208"/>
      <c r="B25" s="211" t="s">
        <v>136</v>
      </c>
      <c r="C25" s="212" t="s">
        <v>212</v>
      </c>
      <c r="D25" s="211"/>
      <c r="E25" s="211"/>
      <c r="F25" s="217">
        <f>F24*F21/1000</f>
        <v>19.128400238993287</v>
      </c>
      <c r="G25" s="216">
        <f>G24*G21/1000</f>
        <v>27.178060352785533</v>
      </c>
      <c r="H25" s="224">
        <f>K40</f>
        <v>27.177275231155875</v>
      </c>
      <c r="I25" s="223" t="s">
        <v>134</v>
      </c>
      <c r="J25" s="85">
        <f t="shared" si="0"/>
        <v>2035</v>
      </c>
      <c r="K25" s="87">
        <f t="shared" si="4"/>
        <v>23.379600502287591</v>
      </c>
      <c r="L25" s="87">
        <f t="shared" si="2"/>
        <v>7.2898699493215409</v>
      </c>
      <c r="N25" s="87">
        <f t="shared" si="1"/>
        <v>29.885836812241596</v>
      </c>
      <c r="O25" s="88">
        <f t="shared" si="3"/>
        <v>9.3185451850030745</v>
      </c>
    </row>
    <row r="26" spans="1:15" x14ac:dyDescent="0.25">
      <c r="A26" s="208"/>
      <c r="B26" s="222" t="s">
        <v>137</v>
      </c>
      <c r="C26" s="212" t="s">
        <v>211</v>
      </c>
      <c r="D26" s="211"/>
      <c r="E26" s="211"/>
      <c r="F26" s="215">
        <f>L41</f>
        <v>315.53130769080337</v>
      </c>
      <c r="G26" s="211"/>
      <c r="H26" s="206"/>
      <c r="I26" s="287">
        <v>1.0085E-2</v>
      </c>
      <c r="J26" s="85">
        <f t="shared" si="0"/>
        <v>2036</v>
      </c>
      <c r="K26" s="87">
        <f t="shared" si="4"/>
        <v>23.615383773353159</v>
      </c>
      <c r="L26" s="87">
        <f t="shared" si="2"/>
        <v>6.9465927243023078</v>
      </c>
      <c r="N26" s="87">
        <f t="shared" si="1"/>
        <v>30.332331214216484</v>
      </c>
      <c r="O26" s="88">
        <f t="shared" si="3"/>
        <v>8.922419103836809</v>
      </c>
    </row>
    <row r="27" spans="1:15" x14ac:dyDescent="0.25">
      <c r="A27" s="208"/>
      <c r="B27" s="211" t="s">
        <v>138</v>
      </c>
      <c r="C27" s="212" t="s">
        <v>210</v>
      </c>
      <c r="D27" s="211"/>
      <c r="E27" s="211"/>
      <c r="F27" s="215">
        <f>H8*1.25</f>
        <v>365</v>
      </c>
      <c r="G27" s="211"/>
      <c r="H27" s="206"/>
      <c r="J27" s="85">
        <f t="shared" si="0"/>
        <v>2037</v>
      </c>
      <c r="K27" s="87">
        <f t="shared" si="4"/>
        <v>23.853544918707424</v>
      </c>
      <c r="L27" s="87">
        <f t="shared" si="2"/>
        <v>6.619480294270657</v>
      </c>
      <c r="N27" s="87">
        <f t="shared" si="1"/>
        <v>30.785496242556878</v>
      </c>
      <c r="O27" s="88">
        <f t="shared" si="3"/>
        <v>8.5431321181586135</v>
      </c>
    </row>
    <row r="28" spans="1:15" x14ac:dyDescent="0.25">
      <c r="A28" s="208"/>
      <c r="B28" s="211" t="s">
        <v>139</v>
      </c>
      <c r="C28" s="212" t="s">
        <v>209</v>
      </c>
      <c r="D28" s="211"/>
      <c r="E28" s="211"/>
      <c r="F28" s="221">
        <f>150*1.25</f>
        <v>187.5</v>
      </c>
      <c r="G28" s="211"/>
      <c r="H28" s="206"/>
      <c r="J28" s="85">
        <f t="shared" si="0"/>
        <v>2038</v>
      </c>
      <c r="K28" s="87">
        <f t="shared" si="4"/>
        <v>24.094107919212586</v>
      </c>
      <c r="L28" s="87">
        <f t="shared" si="2"/>
        <v>6.3077714651305419</v>
      </c>
      <c r="N28" s="87">
        <f t="shared" si="1"/>
        <v>31.245431556420677</v>
      </c>
      <c r="O28" s="88">
        <f t="shared" si="3"/>
        <v>8.1799684075508505</v>
      </c>
    </row>
    <row r="29" spans="1:15" x14ac:dyDescent="0.25">
      <c r="A29" s="208"/>
      <c r="B29" s="204" t="s">
        <v>202</v>
      </c>
      <c r="C29" s="203" t="s">
        <v>208</v>
      </c>
      <c r="D29" s="89"/>
      <c r="E29" s="89"/>
      <c r="F29" s="213">
        <f>F$9*0.1*I29/100</f>
        <v>41.921600000000005</v>
      </c>
      <c r="G29" s="89"/>
      <c r="H29" s="206"/>
      <c r="I29" s="87">
        <v>68.95</v>
      </c>
      <c r="J29" s="85">
        <f t="shared" si="0"/>
        <v>2039</v>
      </c>
      <c r="K29" s="87">
        <f t="shared" si="4"/>
        <v>24.337096997577842</v>
      </c>
      <c r="L29" s="87">
        <f t="shared" si="2"/>
        <v>6.0107408871286641</v>
      </c>
      <c r="N29" s="87">
        <f t="shared" si="1"/>
        <v>31.712238303873601</v>
      </c>
      <c r="O29" s="88">
        <f t="shared" si="3"/>
        <v>7.8322425807166622</v>
      </c>
    </row>
    <row r="30" spans="1:15" x14ac:dyDescent="0.25">
      <c r="A30" s="208"/>
      <c r="B30" s="90" t="s">
        <v>140</v>
      </c>
      <c r="C30" s="212" t="s">
        <v>207</v>
      </c>
      <c r="D30" s="211"/>
      <c r="E30" s="211"/>
      <c r="F30" s="215">
        <f>SUM(F26:F29)</f>
        <v>909.95290769080339</v>
      </c>
      <c r="G30" s="211"/>
      <c r="H30" s="288">
        <f>F30/F44</f>
        <v>0.68945211283850749</v>
      </c>
      <c r="J30" s="85">
        <f t="shared" si="0"/>
        <v>2040</v>
      </c>
      <c r="K30" s="87">
        <f t="shared" si="4"/>
        <v>24.582536620798411</v>
      </c>
      <c r="L30" s="87">
        <f t="shared" si="2"/>
        <v>5.7276973669578828</v>
      </c>
      <c r="N30" s="87">
        <f t="shared" si="1"/>
        <v>32.186019144133468</v>
      </c>
      <c r="O30" s="88">
        <f t="shared" si="3"/>
        <v>7.4992983819552528</v>
      </c>
    </row>
    <row r="31" spans="1:15" x14ac:dyDescent="0.25">
      <c r="A31" s="208"/>
      <c r="B31" s="211"/>
      <c r="C31" s="211"/>
      <c r="D31" s="211"/>
      <c r="E31" s="211"/>
      <c r="F31" s="211"/>
      <c r="G31" s="211"/>
      <c r="H31" s="206"/>
      <c r="J31" s="85">
        <f t="shared" si="0"/>
        <v>2041</v>
      </c>
      <c r="K31" s="87">
        <f t="shared" si="4"/>
        <v>24.830451502619162</v>
      </c>
      <c r="L31" s="87">
        <f t="shared" si="2"/>
        <v>5.4579822593430682</v>
      </c>
      <c r="N31" s="87">
        <f t="shared" si="1"/>
        <v>32.666878270146817</v>
      </c>
      <c r="O31" s="88">
        <f t="shared" si="3"/>
        <v>7.1805074526242105</v>
      </c>
    </row>
    <row r="32" spans="1:15" x14ac:dyDescent="0.25">
      <c r="A32" s="220" t="s">
        <v>141</v>
      </c>
      <c r="B32" s="219"/>
      <c r="C32" s="211"/>
      <c r="D32" s="211"/>
      <c r="E32" s="211"/>
      <c r="F32" s="211"/>
      <c r="G32" s="211"/>
      <c r="H32" s="206"/>
      <c r="J32" s="85">
        <f t="shared" si="0"/>
        <v>2042</v>
      </c>
      <c r="K32" s="87">
        <f t="shared" si="4"/>
        <v>25.080866606023076</v>
      </c>
      <c r="L32" s="87">
        <f t="shared" si="2"/>
        <v>5.2009679343665489</v>
      </c>
      <c r="N32" s="87">
        <f t="shared" si="1"/>
        <v>33.154921431502807</v>
      </c>
      <c r="O32" s="88">
        <f t="shared" si="3"/>
        <v>6.8752681452513338</v>
      </c>
    </row>
    <row r="33" spans="1:15" x14ac:dyDescent="0.25">
      <c r="A33" s="208"/>
      <c r="B33" s="211" t="s">
        <v>206</v>
      </c>
      <c r="C33" s="212">
        <v>17</v>
      </c>
      <c r="D33" s="211">
        <f>D18-D24</f>
        <v>3120</v>
      </c>
      <c r="E33" s="211">
        <f>E18-E24</f>
        <v>3430</v>
      </c>
      <c r="F33" s="211">
        <f>F18-F24</f>
        <v>3180</v>
      </c>
      <c r="G33" s="210">
        <f>G18-G24</f>
        <v>3542.381091705955</v>
      </c>
      <c r="H33" s="206"/>
      <c r="J33" s="85">
        <f t="shared" si="0"/>
        <v>2043</v>
      </c>
      <c r="K33" s="87">
        <f t="shared" si="4"/>
        <v>25.333807145744817</v>
      </c>
      <c r="L33" s="87">
        <f t="shared" si="2"/>
        <v>4.9560563169666372</v>
      </c>
      <c r="N33" s="87">
        <f t="shared" si="1"/>
        <v>33.65025595768946</v>
      </c>
      <c r="O33" s="88">
        <f t="shared" si="3"/>
        <v>6.5830043880579137</v>
      </c>
    </row>
    <row r="34" spans="1:15" x14ac:dyDescent="0.25">
      <c r="A34" s="208"/>
      <c r="B34" s="211" t="s">
        <v>136</v>
      </c>
      <c r="C34" s="218" t="s">
        <v>205</v>
      </c>
      <c r="D34" s="211"/>
      <c r="E34" s="211"/>
      <c r="F34" s="217">
        <f>F33*F21/1000</f>
        <v>121.65662551999731</v>
      </c>
      <c r="G34" s="217">
        <f>G33*G21/1000</f>
        <v>192.5500942059015</v>
      </c>
      <c r="H34" s="206"/>
      <c r="J34" s="85">
        <f t="shared" si="0"/>
        <v>2044</v>
      </c>
      <c r="K34" s="87">
        <f t="shared" si="4"/>
        <v>25.589298590809651</v>
      </c>
      <c r="L34" s="87">
        <f t="shared" si="2"/>
        <v>4.7226774952106085</v>
      </c>
      <c r="N34" s="87">
        <f t="shared" si="1"/>
        <v>34.152990781697341</v>
      </c>
      <c r="O34" s="88">
        <f t="shared" si="3"/>
        <v>6.3031645977504702</v>
      </c>
    </row>
    <row r="35" spans="1:15" x14ac:dyDescent="0.25">
      <c r="A35" s="208"/>
      <c r="B35" s="89" t="s">
        <v>142</v>
      </c>
      <c r="C35" s="92">
        <v>19</v>
      </c>
      <c r="D35" s="89"/>
      <c r="E35" s="89"/>
      <c r="F35" s="93">
        <f>[3]Base!F30</f>
        <v>99.441025758990591</v>
      </c>
      <c r="G35" s="93">
        <f>[3]Base!G30</f>
        <v>155.20111574117826</v>
      </c>
      <c r="H35" s="206"/>
      <c r="J35" s="85">
        <f t="shared" si="0"/>
        <v>2045</v>
      </c>
      <c r="K35" s="87">
        <f t="shared" si="4"/>
        <v>25.847366667097965</v>
      </c>
      <c r="L35" s="87">
        <f t="shared" si="2"/>
        <v>4.5002883941035918</v>
      </c>
      <c r="N35" s="87">
        <f t="shared" si="1"/>
        <v>34.663236463975899</v>
      </c>
      <c r="O35" s="88">
        <f t="shared" si="3"/>
        <v>6.0352206385291156</v>
      </c>
    </row>
    <row r="36" spans="1:15" x14ac:dyDescent="0.25">
      <c r="A36" s="208"/>
      <c r="B36" s="211" t="s">
        <v>143</v>
      </c>
      <c r="C36" s="212" t="s">
        <v>204</v>
      </c>
      <c r="D36" s="211"/>
      <c r="E36" s="211"/>
      <c r="F36" s="217">
        <f>F34-F35</f>
        <v>22.215599761006715</v>
      </c>
      <c r="G36" s="216">
        <f>G34-G35</f>
        <v>37.348978464723245</v>
      </c>
      <c r="H36" s="206"/>
      <c r="J36" s="85">
        <f t="shared" si="0"/>
        <v>2046</v>
      </c>
      <c r="K36" s="87">
        <f t="shared" si="4"/>
        <v>26.108037359935647</v>
      </c>
      <c r="L36" s="87">
        <f t="shared" si="2"/>
        <v>4.2883715118472878</v>
      </c>
      <c r="N36" s="87">
        <f t="shared" si="1"/>
        <v>35.181105216747696</v>
      </c>
      <c r="O36" s="88">
        <f t="shared" si="3"/>
        <v>5.7786668253478659</v>
      </c>
    </row>
    <row r="37" spans="1:15" x14ac:dyDescent="0.25">
      <c r="A37" s="208"/>
      <c r="B37" s="211" t="s">
        <v>145</v>
      </c>
      <c r="C37" s="212" t="s">
        <v>203</v>
      </c>
      <c r="D37" s="211"/>
      <c r="E37" s="211"/>
      <c r="F37" s="215">
        <f>O41</f>
        <v>390.98901158341494</v>
      </c>
      <c r="G37" s="211"/>
      <c r="H37" s="206"/>
      <c r="I37" s="87">
        <f>100-I29</f>
        <v>31.049999999999997</v>
      </c>
      <c r="J37" s="85">
        <f t="shared" si="0"/>
        <v>2047</v>
      </c>
      <c r="K37" s="87">
        <f t="shared" si="4"/>
        <v>26.371336916710597</v>
      </c>
      <c r="L37" s="87">
        <f t="shared" si="2"/>
        <v>4.0864337156078001</v>
      </c>
      <c r="N37" s="87">
        <f t="shared" si="1"/>
        <v>35.706710928685908</v>
      </c>
      <c r="O37" s="88">
        <f t="shared" si="3"/>
        <v>5.5330189695458163</v>
      </c>
    </row>
    <row r="38" spans="1:15" x14ac:dyDescent="0.25">
      <c r="A38" s="208"/>
      <c r="B38" s="204" t="s">
        <v>202</v>
      </c>
      <c r="C38" s="214" t="s">
        <v>201</v>
      </c>
      <c r="D38" s="89"/>
      <c r="E38" s="89"/>
      <c r="F38" s="213">
        <f>F$9*0.1*I37/100</f>
        <v>18.878399999999999</v>
      </c>
      <c r="G38" s="89"/>
      <c r="H38" s="206"/>
      <c r="J38" s="85">
        <f t="shared" si="0"/>
        <v>2048</v>
      </c>
      <c r="K38" s="87">
        <f t="shared" si="4"/>
        <v>26.63729184951562</v>
      </c>
      <c r="L38" s="87">
        <f t="shared" si="2"/>
        <v>3.894005093990287</v>
      </c>
      <c r="N38" s="87">
        <f t="shared" si="1"/>
        <v>36.240169189960476</v>
      </c>
      <c r="O38" s="88">
        <f t="shared" si="3"/>
        <v>5.2978134650479536</v>
      </c>
    </row>
    <row r="39" spans="1:15" x14ac:dyDescent="0.25">
      <c r="A39" s="208"/>
      <c r="B39" s="90" t="s">
        <v>200</v>
      </c>
      <c r="C39" s="91" t="s">
        <v>199</v>
      </c>
      <c r="F39" s="96">
        <f>SUM(F37:F38)</f>
        <v>409.86741158341493</v>
      </c>
      <c r="H39" s="288">
        <f>F39/F44</f>
        <v>0.31054788716149251</v>
      </c>
      <c r="J39" s="85">
        <f t="shared" si="0"/>
        <v>2049</v>
      </c>
      <c r="K39" s="87">
        <f t="shared" si="4"/>
        <v>26.905928937817983</v>
      </c>
      <c r="L39" s="87">
        <f t="shared" si="2"/>
        <v>3.710637863550168</v>
      </c>
      <c r="N39" s="87">
        <f t="shared" si="1"/>
        <v>36.781597317658481</v>
      </c>
      <c r="O39" s="88">
        <f t="shared" si="3"/>
        <v>5.0726064134111022</v>
      </c>
    </row>
    <row r="40" spans="1:15" x14ac:dyDescent="0.25">
      <c r="A40" s="208"/>
      <c r="H40" s="206"/>
      <c r="J40" s="85">
        <f t="shared" si="0"/>
        <v>2050</v>
      </c>
      <c r="K40" s="87">
        <f t="shared" si="4"/>
        <v>27.177275231155875</v>
      </c>
      <c r="L40" s="87">
        <f t="shared" si="2"/>
        <v>3.5359053267962932</v>
      </c>
      <c r="N40" s="87">
        <f t="shared" si="1"/>
        <v>37.3311143815843</v>
      </c>
      <c r="O40" s="88">
        <f t="shared" si="3"/>
        <v>4.8569727860636451</v>
      </c>
    </row>
    <row r="41" spans="1:15" x14ac:dyDescent="0.25">
      <c r="A41" s="208"/>
      <c r="B41" s="211" t="s">
        <v>198</v>
      </c>
      <c r="C41" s="212">
        <v>24</v>
      </c>
      <c r="D41" s="211"/>
      <c r="E41" s="211"/>
      <c r="F41" s="211">
        <v>1313</v>
      </c>
      <c r="G41" s="211"/>
      <c r="H41" s="206"/>
      <c r="K41" s="87" t="s">
        <v>144</v>
      </c>
      <c r="L41" s="87">
        <f>SUM(L6:L40)</f>
        <v>315.53130769080337</v>
      </c>
      <c r="O41" s="87">
        <f>SUM(O6:O40)</f>
        <v>390.98901158341494</v>
      </c>
    </row>
    <row r="42" spans="1:15" x14ac:dyDescent="0.25">
      <c r="A42" s="208"/>
      <c r="B42" s="211" t="s">
        <v>197</v>
      </c>
      <c r="C42" s="212" t="s">
        <v>196</v>
      </c>
      <c r="D42" s="211"/>
      <c r="E42" s="211"/>
      <c r="F42" s="210">
        <f>F30-F29+F37</f>
        <v>1259.0203192742183</v>
      </c>
      <c r="G42" s="209">
        <f>F42/F41</f>
        <v>0.95888828581433228</v>
      </c>
      <c r="H42" s="206"/>
      <c r="N42" s="97">
        <v>1.494E-2</v>
      </c>
    </row>
    <row r="43" spans="1:15" x14ac:dyDescent="0.25">
      <c r="A43" s="208"/>
      <c r="B43" s="204" t="s">
        <v>195</v>
      </c>
      <c r="C43" s="92" t="s">
        <v>194</v>
      </c>
      <c r="D43" s="89"/>
      <c r="E43" s="89"/>
      <c r="F43" s="89">
        <f>0.1*F9</f>
        <v>60.800000000000004</v>
      </c>
      <c r="G43" s="207"/>
      <c r="H43" s="206"/>
    </row>
    <row r="44" spans="1:15" x14ac:dyDescent="0.25">
      <c r="A44" s="205"/>
      <c r="B44" s="204" t="s">
        <v>193</v>
      </c>
      <c r="C44" s="203" t="s">
        <v>192</v>
      </c>
      <c r="D44" s="89"/>
      <c r="E44" s="89"/>
      <c r="F44" s="202">
        <f>SUM(F42:F43)</f>
        <v>1319.8203192742183</v>
      </c>
      <c r="G44" s="201">
        <f>F44/F41</f>
        <v>1.0051944548927785</v>
      </c>
      <c r="H44" s="200"/>
    </row>
    <row r="45" spans="1:15" x14ac:dyDescent="0.25">
      <c r="B45" s="90"/>
      <c r="C45" s="94"/>
      <c r="F45" s="9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V519"/>
  <sheetViews>
    <sheetView zoomScaleNormal="100" workbookViewId="0">
      <pane xSplit="1" ySplit="3" topLeftCell="D4" activePane="bottomRight" state="frozen"/>
      <selection activeCell="M400" sqref="M400"/>
      <selection pane="topRight" activeCell="M400" sqref="M400"/>
      <selection pane="bottomLeft" activeCell="M400" sqref="M400"/>
      <selection pane="bottomRight" activeCell="Y428" sqref="Y428"/>
    </sheetView>
  </sheetViews>
  <sheetFormatPr defaultRowHeight="12.75" x14ac:dyDescent="0.2"/>
  <cols>
    <col min="1" max="1" width="9.140625" style="291"/>
    <col min="2" max="6" width="12.7109375" style="292" customWidth="1"/>
    <col min="7" max="7" width="3.5703125" style="292" customWidth="1"/>
    <col min="8" max="10" width="12.7109375" style="292" customWidth="1"/>
    <col min="11" max="11" width="2.42578125" style="292" customWidth="1"/>
    <col min="12" max="14" width="12.7109375" style="292" customWidth="1"/>
    <col min="15" max="15" width="0" style="293" hidden="1" customWidth="1"/>
    <col min="16" max="257" width="9.140625" style="293"/>
    <col min="258" max="262" width="12.7109375" style="293" customWidth="1"/>
    <col min="263" max="263" width="3.5703125" style="293" customWidth="1"/>
    <col min="264" max="266" width="12.7109375" style="293" customWidth="1"/>
    <col min="267" max="267" width="2.42578125" style="293" customWidth="1"/>
    <col min="268" max="270" width="12.7109375" style="293" customWidth="1"/>
    <col min="271" max="271" width="0" style="293" hidden="1" customWidth="1"/>
    <col min="272" max="513" width="9.140625" style="293"/>
    <col min="514" max="518" width="12.7109375" style="293" customWidth="1"/>
    <col min="519" max="519" width="3.5703125" style="293" customWidth="1"/>
    <col min="520" max="522" width="12.7109375" style="293" customWidth="1"/>
    <col min="523" max="523" width="2.42578125" style="293" customWidth="1"/>
    <col min="524" max="526" width="12.7109375" style="293" customWidth="1"/>
    <col min="527" max="527" width="0" style="293" hidden="1" customWidth="1"/>
    <col min="528" max="769" width="9.140625" style="293"/>
    <col min="770" max="774" width="12.7109375" style="293" customWidth="1"/>
    <col min="775" max="775" width="3.5703125" style="293" customWidth="1"/>
    <col min="776" max="778" width="12.7109375" style="293" customWidth="1"/>
    <col min="779" max="779" width="2.42578125" style="293" customWidth="1"/>
    <col min="780" max="782" width="12.7109375" style="293" customWidth="1"/>
    <col min="783" max="783" width="0" style="293" hidden="1" customWidth="1"/>
    <col min="784" max="1025" width="9.140625" style="293"/>
    <col min="1026" max="1030" width="12.7109375" style="293" customWidth="1"/>
    <col min="1031" max="1031" width="3.5703125" style="293" customWidth="1"/>
    <col min="1032" max="1034" width="12.7109375" style="293" customWidth="1"/>
    <col min="1035" max="1035" width="2.42578125" style="293" customWidth="1"/>
    <col min="1036" max="1038" width="12.7109375" style="293" customWidth="1"/>
    <col min="1039" max="1039" width="0" style="293" hidden="1" customWidth="1"/>
    <col min="1040" max="1281" width="9.140625" style="293"/>
    <col min="1282" max="1286" width="12.7109375" style="293" customWidth="1"/>
    <col min="1287" max="1287" width="3.5703125" style="293" customWidth="1"/>
    <col min="1288" max="1290" width="12.7109375" style="293" customWidth="1"/>
    <col min="1291" max="1291" width="2.42578125" style="293" customWidth="1"/>
    <col min="1292" max="1294" width="12.7109375" style="293" customWidth="1"/>
    <col min="1295" max="1295" width="0" style="293" hidden="1" customWidth="1"/>
    <col min="1296" max="1537" width="9.140625" style="293"/>
    <col min="1538" max="1542" width="12.7109375" style="293" customWidth="1"/>
    <col min="1543" max="1543" width="3.5703125" style="293" customWidth="1"/>
    <col min="1544" max="1546" width="12.7109375" style="293" customWidth="1"/>
    <col min="1547" max="1547" width="2.42578125" style="293" customWidth="1"/>
    <col min="1548" max="1550" width="12.7109375" style="293" customWidth="1"/>
    <col min="1551" max="1551" width="0" style="293" hidden="1" customWidth="1"/>
    <col min="1552" max="1793" width="9.140625" style="293"/>
    <col min="1794" max="1798" width="12.7109375" style="293" customWidth="1"/>
    <col min="1799" max="1799" width="3.5703125" style="293" customWidth="1"/>
    <col min="1800" max="1802" width="12.7109375" style="293" customWidth="1"/>
    <col min="1803" max="1803" width="2.42578125" style="293" customWidth="1"/>
    <col min="1804" max="1806" width="12.7109375" style="293" customWidth="1"/>
    <col min="1807" max="1807" width="0" style="293" hidden="1" customWidth="1"/>
    <col min="1808" max="2049" width="9.140625" style="293"/>
    <col min="2050" max="2054" width="12.7109375" style="293" customWidth="1"/>
    <col min="2055" max="2055" width="3.5703125" style="293" customWidth="1"/>
    <col min="2056" max="2058" width="12.7109375" style="293" customWidth="1"/>
    <col min="2059" max="2059" width="2.42578125" style="293" customWidth="1"/>
    <col min="2060" max="2062" width="12.7109375" style="293" customWidth="1"/>
    <col min="2063" max="2063" width="0" style="293" hidden="1" customWidth="1"/>
    <col min="2064" max="2305" width="9.140625" style="293"/>
    <col min="2306" max="2310" width="12.7109375" style="293" customWidth="1"/>
    <col min="2311" max="2311" width="3.5703125" style="293" customWidth="1"/>
    <col min="2312" max="2314" width="12.7109375" style="293" customWidth="1"/>
    <col min="2315" max="2315" width="2.42578125" style="293" customWidth="1"/>
    <col min="2316" max="2318" width="12.7109375" style="293" customWidth="1"/>
    <col min="2319" max="2319" width="0" style="293" hidden="1" customWidth="1"/>
    <col min="2320" max="2561" width="9.140625" style="293"/>
    <col min="2562" max="2566" width="12.7109375" style="293" customWidth="1"/>
    <col min="2567" max="2567" width="3.5703125" style="293" customWidth="1"/>
    <col min="2568" max="2570" width="12.7109375" style="293" customWidth="1"/>
    <col min="2571" max="2571" width="2.42578125" style="293" customWidth="1"/>
    <col min="2572" max="2574" width="12.7109375" style="293" customWidth="1"/>
    <col min="2575" max="2575" width="0" style="293" hidden="1" customWidth="1"/>
    <col min="2576" max="2817" width="9.140625" style="293"/>
    <col min="2818" max="2822" width="12.7109375" style="293" customWidth="1"/>
    <col min="2823" max="2823" width="3.5703125" style="293" customWidth="1"/>
    <col min="2824" max="2826" width="12.7109375" style="293" customWidth="1"/>
    <col min="2827" max="2827" width="2.42578125" style="293" customWidth="1"/>
    <col min="2828" max="2830" width="12.7109375" style="293" customWidth="1"/>
    <col min="2831" max="2831" width="0" style="293" hidden="1" customWidth="1"/>
    <col min="2832" max="3073" width="9.140625" style="293"/>
    <col min="3074" max="3078" width="12.7109375" style="293" customWidth="1"/>
    <col min="3079" max="3079" width="3.5703125" style="293" customWidth="1"/>
    <col min="3080" max="3082" width="12.7109375" style="293" customWidth="1"/>
    <col min="3083" max="3083" width="2.42578125" style="293" customWidth="1"/>
    <col min="3084" max="3086" width="12.7109375" style="293" customWidth="1"/>
    <col min="3087" max="3087" width="0" style="293" hidden="1" customWidth="1"/>
    <col min="3088" max="3329" width="9.140625" style="293"/>
    <col min="3330" max="3334" width="12.7109375" style="293" customWidth="1"/>
    <col min="3335" max="3335" width="3.5703125" style="293" customWidth="1"/>
    <col min="3336" max="3338" width="12.7109375" style="293" customWidth="1"/>
    <col min="3339" max="3339" width="2.42578125" style="293" customWidth="1"/>
    <col min="3340" max="3342" width="12.7109375" style="293" customWidth="1"/>
    <col min="3343" max="3343" width="0" style="293" hidden="1" customWidth="1"/>
    <col min="3344" max="3585" width="9.140625" style="293"/>
    <col min="3586" max="3590" width="12.7109375" style="293" customWidth="1"/>
    <col min="3591" max="3591" width="3.5703125" style="293" customWidth="1"/>
    <col min="3592" max="3594" width="12.7109375" style="293" customWidth="1"/>
    <col min="3595" max="3595" width="2.42578125" style="293" customWidth="1"/>
    <col min="3596" max="3598" width="12.7109375" style="293" customWidth="1"/>
    <col min="3599" max="3599" width="0" style="293" hidden="1" customWidth="1"/>
    <col min="3600" max="3841" width="9.140625" style="293"/>
    <col min="3842" max="3846" width="12.7109375" style="293" customWidth="1"/>
    <col min="3847" max="3847" width="3.5703125" style="293" customWidth="1"/>
    <col min="3848" max="3850" width="12.7109375" style="293" customWidth="1"/>
    <col min="3851" max="3851" width="2.42578125" style="293" customWidth="1"/>
    <col min="3852" max="3854" width="12.7109375" style="293" customWidth="1"/>
    <col min="3855" max="3855" width="0" style="293" hidden="1" customWidth="1"/>
    <col min="3856" max="4097" width="9.140625" style="293"/>
    <col min="4098" max="4102" width="12.7109375" style="293" customWidth="1"/>
    <col min="4103" max="4103" width="3.5703125" style="293" customWidth="1"/>
    <col min="4104" max="4106" width="12.7109375" style="293" customWidth="1"/>
    <col min="4107" max="4107" width="2.42578125" style="293" customWidth="1"/>
    <col min="4108" max="4110" width="12.7109375" style="293" customWidth="1"/>
    <col min="4111" max="4111" width="0" style="293" hidden="1" customWidth="1"/>
    <col min="4112" max="4353" width="9.140625" style="293"/>
    <col min="4354" max="4358" width="12.7109375" style="293" customWidth="1"/>
    <col min="4359" max="4359" width="3.5703125" style="293" customWidth="1"/>
    <col min="4360" max="4362" width="12.7109375" style="293" customWidth="1"/>
    <col min="4363" max="4363" width="2.42578125" style="293" customWidth="1"/>
    <col min="4364" max="4366" width="12.7109375" style="293" customWidth="1"/>
    <col min="4367" max="4367" width="0" style="293" hidden="1" customWidth="1"/>
    <col min="4368" max="4609" width="9.140625" style="293"/>
    <col min="4610" max="4614" width="12.7109375" style="293" customWidth="1"/>
    <col min="4615" max="4615" width="3.5703125" style="293" customWidth="1"/>
    <col min="4616" max="4618" width="12.7109375" style="293" customWidth="1"/>
    <col min="4619" max="4619" width="2.42578125" style="293" customWidth="1"/>
    <col min="4620" max="4622" width="12.7109375" style="293" customWidth="1"/>
    <col min="4623" max="4623" width="0" style="293" hidden="1" customWidth="1"/>
    <col min="4624" max="4865" width="9.140625" style="293"/>
    <col min="4866" max="4870" width="12.7109375" style="293" customWidth="1"/>
    <col min="4871" max="4871" width="3.5703125" style="293" customWidth="1"/>
    <col min="4872" max="4874" width="12.7109375" style="293" customWidth="1"/>
    <col min="4875" max="4875" width="2.42578125" style="293" customWidth="1"/>
    <col min="4876" max="4878" width="12.7109375" style="293" customWidth="1"/>
    <col min="4879" max="4879" width="0" style="293" hidden="1" customWidth="1"/>
    <col min="4880" max="5121" width="9.140625" style="293"/>
    <col min="5122" max="5126" width="12.7109375" style="293" customWidth="1"/>
    <col min="5127" max="5127" width="3.5703125" style="293" customWidth="1"/>
    <col min="5128" max="5130" width="12.7109375" style="293" customWidth="1"/>
    <col min="5131" max="5131" width="2.42578125" style="293" customWidth="1"/>
    <col min="5132" max="5134" width="12.7109375" style="293" customWidth="1"/>
    <col min="5135" max="5135" width="0" style="293" hidden="1" customWidth="1"/>
    <col min="5136" max="5377" width="9.140625" style="293"/>
    <col min="5378" max="5382" width="12.7109375" style="293" customWidth="1"/>
    <col min="5383" max="5383" width="3.5703125" style="293" customWidth="1"/>
    <col min="5384" max="5386" width="12.7109375" style="293" customWidth="1"/>
    <col min="5387" max="5387" width="2.42578125" style="293" customWidth="1"/>
    <col min="5388" max="5390" width="12.7109375" style="293" customWidth="1"/>
    <col min="5391" max="5391" width="0" style="293" hidden="1" customWidth="1"/>
    <col min="5392" max="5633" width="9.140625" style="293"/>
    <col min="5634" max="5638" width="12.7109375" style="293" customWidth="1"/>
    <col min="5639" max="5639" width="3.5703125" style="293" customWidth="1"/>
    <col min="5640" max="5642" width="12.7109375" style="293" customWidth="1"/>
    <col min="5643" max="5643" width="2.42578125" style="293" customWidth="1"/>
    <col min="5644" max="5646" width="12.7109375" style="293" customWidth="1"/>
    <col min="5647" max="5647" width="0" style="293" hidden="1" customWidth="1"/>
    <col min="5648" max="5889" width="9.140625" style="293"/>
    <col min="5890" max="5894" width="12.7109375" style="293" customWidth="1"/>
    <col min="5895" max="5895" width="3.5703125" style="293" customWidth="1"/>
    <col min="5896" max="5898" width="12.7109375" style="293" customWidth="1"/>
    <col min="5899" max="5899" width="2.42578125" style="293" customWidth="1"/>
    <col min="5900" max="5902" width="12.7109375" style="293" customWidth="1"/>
    <col min="5903" max="5903" width="0" style="293" hidden="1" customWidth="1"/>
    <col min="5904" max="6145" width="9.140625" style="293"/>
    <col min="6146" max="6150" width="12.7109375" style="293" customWidth="1"/>
    <col min="6151" max="6151" width="3.5703125" style="293" customWidth="1"/>
    <col min="6152" max="6154" width="12.7109375" style="293" customWidth="1"/>
    <col min="6155" max="6155" width="2.42578125" style="293" customWidth="1"/>
    <col min="6156" max="6158" width="12.7109375" style="293" customWidth="1"/>
    <col min="6159" max="6159" width="0" style="293" hidden="1" customWidth="1"/>
    <col min="6160" max="6401" width="9.140625" style="293"/>
    <col min="6402" max="6406" width="12.7109375" style="293" customWidth="1"/>
    <col min="6407" max="6407" width="3.5703125" style="293" customWidth="1"/>
    <col min="6408" max="6410" width="12.7109375" style="293" customWidth="1"/>
    <col min="6411" max="6411" width="2.42578125" style="293" customWidth="1"/>
    <col min="6412" max="6414" width="12.7109375" style="293" customWidth="1"/>
    <col min="6415" max="6415" width="0" style="293" hidden="1" customWidth="1"/>
    <col min="6416" max="6657" width="9.140625" style="293"/>
    <col min="6658" max="6662" width="12.7109375" style="293" customWidth="1"/>
    <col min="6663" max="6663" width="3.5703125" style="293" customWidth="1"/>
    <col min="6664" max="6666" width="12.7109375" style="293" customWidth="1"/>
    <col min="6667" max="6667" width="2.42578125" style="293" customWidth="1"/>
    <col min="6668" max="6670" width="12.7109375" style="293" customWidth="1"/>
    <col min="6671" max="6671" width="0" style="293" hidden="1" customWidth="1"/>
    <col min="6672" max="6913" width="9.140625" style="293"/>
    <col min="6914" max="6918" width="12.7109375" style="293" customWidth="1"/>
    <col min="6919" max="6919" width="3.5703125" style="293" customWidth="1"/>
    <col min="6920" max="6922" width="12.7109375" style="293" customWidth="1"/>
    <col min="6923" max="6923" width="2.42578125" style="293" customWidth="1"/>
    <col min="6924" max="6926" width="12.7109375" style="293" customWidth="1"/>
    <col min="6927" max="6927" width="0" style="293" hidden="1" customWidth="1"/>
    <col min="6928" max="7169" width="9.140625" style="293"/>
    <col min="7170" max="7174" width="12.7109375" style="293" customWidth="1"/>
    <col min="7175" max="7175" width="3.5703125" style="293" customWidth="1"/>
    <col min="7176" max="7178" width="12.7109375" style="293" customWidth="1"/>
    <col min="7179" max="7179" width="2.42578125" style="293" customWidth="1"/>
    <col min="7180" max="7182" width="12.7109375" style="293" customWidth="1"/>
    <col min="7183" max="7183" width="0" style="293" hidden="1" customWidth="1"/>
    <col min="7184" max="7425" width="9.140625" style="293"/>
    <col min="7426" max="7430" width="12.7109375" style="293" customWidth="1"/>
    <col min="7431" max="7431" width="3.5703125" style="293" customWidth="1"/>
    <col min="7432" max="7434" width="12.7109375" style="293" customWidth="1"/>
    <col min="7435" max="7435" width="2.42578125" style="293" customWidth="1"/>
    <col min="7436" max="7438" width="12.7109375" style="293" customWidth="1"/>
    <col min="7439" max="7439" width="0" style="293" hidden="1" customWidth="1"/>
    <col min="7440" max="7681" width="9.140625" style="293"/>
    <col min="7682" max="7686" width="12.7109375" style="293" customWidth="1"/>
    <col min="7687" max="7687" width="3.5703125" style="293" customWidth="1"/>
    <col min="7688" max="7690" width="12.7109375" style="293" customWidth="1"/>
    <col min="7691" max="7691" width="2.42578125" style="293" customWidth="1"/>
    <col min="7692" max="7694" width="12.7109375" style="293" customWidth="1"/>
    <col min="7695" max="7695" width="0" style="293" hidden="1" customWidth="1"/>
    <col min="7696" max="7937" width="9.140625" style="293"/>
    <col min="7938" max="7942" width="12.7109375" style="293" customWidth="1"/>
    <col min="7943" max="7943" width="3.5703125" style="293" customWidth="1"/>
    <col min="7944" max="7946" width="12.7109375" style="293" customWidth="1"/>
    <col min="7947" max="7947" width="2.42578125" style="293" customWidth="1"/>
    <col min="7948" max="7950" width="12.7109375" style="293" customWidth="1"/>
    <col min="7951" max="7951" width="0" style="293" hidden="1" customWidth="1"/>
    <col min="7952" max="8193" width="9.140625" style="293"/>
    <col min="8194" max="8198" width="12.7109375" style="293" customWidth="1"/>
    <col min="8199" max="8199" width="3.5703125" style="293" customWidth="1"/>
    <col min="8200" max="8202" width="12.7109375" style="293" customWidth="1"/>
    <col min="8203" max="8203" width="2.42578125" style="293" customWidth="1"/>
    <col min="8204" max="8206" width="12.7109375" style="293" customWidth="1"/>
    <col min="8207" max="8207" width="0" style="293" hidden="1" customWidth="1"/>
    <col min="8208" max="8449" width="9.140625" style="293"/>
    <col min="8450" max="8454" width="12.7109375" style="293" customWidth="1"/>
    <col min="8455" max="8455" width="3.5703125" style="293" customWidth="1"/>
    <col min="8456" max="8458" width="12.7109375" style="293" customWidth="1"/>
    <col min="8459" max="8459" width="2.42578125" style="293" customWidth="1"/>
    <col min="8460" max="8462" width="12.7109375" style="293" customWidth="1"/>
    <col min="8463" max="8463" width="0" style="293" hidden="1" customWidth="1"/>
    <col min="8464" max="8705" width="9.140625" style="293"/>
    <col min="8706" max="8710" width="12.7109375" style="293" customWidth="1"/>
    <col min="8711" max="8711" width="3.5703125" style="293" customWidth="1"/>
    <col min="8712" max="8714" width="12.7109375" style="293" customWidth="1"/>
    <col min="8715" max="8715" width="2.42578125" style="293" customWidth="1"/>
    <col min="8716" max="8718" width="12.7109375" style="293" customWidth="1"/>
    <col min="8719" max="8719" width="0" style="293" hidden="1" customWidth="1"/>
    <col min="8720" max="8961" width="9.140625" style="293"/>
    <col min="8962" max="8966" width="12.7109375" style="293" customWidth="1"/>
    <col min="8967" max="8967" width="3.5703125" style="293" customWidth="1"/>
    <col min="8968" max="8970" width="12.7109375" style="293" customWidth="1"/>
    <col min="8971" max="8971" width="2.42578125" style="293" customWidth="1"/>
    <col min="8972" max="8974" width="12.7109375" style="293" customWidth="1"/>
    <col min="8975" max="8975" width="0" style="293" hidden="1" customWidth="1"/>
    <col min="8976" max="9217" width="9.140625" style="293"/>
    <col min="9218" max="9222" width="12.7109375" style="293" customWidth="1"/>
    <col min="9223" max="9223" width="3.5703125" style="293" customWidth="1"/>
    <col min="9224" max="9226" width="12.7109375" style="293" customWidth="1"/>
    <col min="9227" max="9227" width="2.42578125" style="293" customWidth="1"/>
    <col min="9228" max="9230" width="12.7109375" style="293" customWidth="1"/>
    <col min="9231" max="9231" width="0" style="293" hidden="1" customWidth="1"/>
    <col min="9232" max="9473" width="9.140625" style="293"/>
    <col min="9474" max="9478" width="12.7109375" style="293" customWidth="1"/>
    <col min="9479" max="9479" width="3.5703125" style="293" customWidth="1"/>
    <col min="9480" max="9482" width="12.7109375" style="293" customWidth="1"/>
    <col min="9483" max="9483" width="2.42578125" style="293" customWidth="1"/>
    <col min="9484" max="9486" width="12.7109375" style="293" customWidth="1"/>
    <col min="9487" max="9487" width="0" style="293" hidden="1" customWidth="1"/>
    <col min="9488" max="9729" width="9.140625" style="293"/>
    <col min="9730" max="9734" width="12.7109375" style="293" customWidth="1"/>
    <col min="9735" max="9735" width="3.5703125" style="293" customWidth="1"/>
    <col min="9736" max="9738" width="12.7109375" style="293" customWidth="1"/>
    <col min="9739" max="9739" width="2.42578125" style="293" customWidth="1"/>
    <col min="9740" max="9742" width="12.7109375" style="293" customWidth="1"/>
    <col min="9743" max="9743" width="0" style="293" hidden="1" customWidth="1"/>
    <col min="9744" max="9985" width="9.140625" style="293"/>
    <col min="9986" max="9990" width="12.7109375" style="293" customWidth="1"/>
    <col min="9991" max="9991" width="3.5703125" style="293" customWidth="1"/>
    <col min="9992" max="9994" width="12.7109375" style="293" customWidth="1"/>
    <col min="9995" max="9995" width="2.42578125" style="293" customWidth="1"/>
    <col min="9996" max="9998" width="12.7109375" style="293" customWidth="1"/>
    <col min="9999" max="9999" width="0" style="293" hidden="1" customWidth="1"/>
    <col min="10000" max="10241" width="9.140625" style="293"/>
    <col min="10242" max="10246" width="12.7109375" style="293" customWidth="1"/>
    <col min="10247" max="10247" width="3.5703125" style="293" customWidth="1"/>
    <col min="10248" max="10250" width="12.7109375" style="293" customWidth="1"/>
    <col min="10251" max="10251" width="2.42578125" style="293" customWidth="1"/>
    <col min="10252" max="10254" width="12.7109375" style="293" customWidth="1"/>
    <col min="10255" max="10255" width="0" style="293" hidden="1" customWidth="1"/>
    <col min="10256" max="10497" width="9.140625" style="293"/>
    <col min="10498" max="10502" width="12.7109375" style="293" customWidth="1"/>
    <col min="10503" max="10503" width="3.5703125" style="293" customWidth="1"/>
    <col min="10504" max="10506" width="12.7109375" style="293" customWidth="1"/>
    <col min="10507" max="10507" width="2.42578125" style="293" customWidth="1"/>
    <col min="10508" max="10510" width="12.7109375" style="293" customWidth="1"/>
    <col min="10511" max="10511" width="0" style="293" hidden="1" customWidth="1"/>
    <col min="10512" max="10753" width="9.140625" style="293"/>
    <col min="10754" max="10758" width="12.7109375" style="293" customWidth="1"/>
    <col min="10759" max="10759" width="3.5703125" style="293" customWidth="1"/>
    <col min="10760" max="10762" width="12.7109375" style="293" customWidth="1"/>
    <col min="10763" max="10763" width="2.42578125" style="293" customWidth="1"/>
    <col min="10764" max="10766" width="12.7109375" style="293" customWidth="1"/>
    <col min="10767" max="10767" width="0" style="293" hidden="1" customWidth="1"/>
    <col min="10768" max="11009" width="9.140625" style="293"/>
    <col min="11010" max="11014" width="12.7109375" style="293" customWidth="1"/>
    <col min="11015" max="11015" width="3.5703125" style="293" customWidth="1"/>
    <col min="11016" max="11018" width="12.7109375" style="293" customWidth="1"/>
    <col min="11019" max="11019" width="2.42578125" style="293" customWidth="1"/>
    <col min="11020" max="11022" width="12.7109375" style="293" customWidth="1"/>
    <col min="11023" max="11023" width="0" style="293" hidden="1" customWidth="1"/>
    <col min="11024" max="11265" width="9.140625" style="293"/>
    <col min="11266" max="11270" width="12.7109375" style="293" customWidth="1"/>
    <col min="11271" max="11271" width="3.5703125" style="293" customWidth="1"/>
    <col min="11272" max="11274" width="12.7109375" style="293" customWidth="1"/>
    <col min="11275" max="11275" width="2.42578125" style="293" customWidth="1"/>
    <col min="11276" max="11278" width="12.7109375" style="293" customWidth="1"/>
    <col min="11279" max="11279" width="0" style="293" hidden="1" customWidth="1"/>
    <col min="11280" max="11521" width="9.140625" style="293"/>
    <col min="11522" max="11526" width="12.7109375" style="293" customWidth="1"/>
    <col min="11527" max="11527" width="3.5703125" style="293" customWidth="1"/>
    <col min="11528" max="11530" width="12.7109375" style="293" customWidth="1"/>
    <col min="11531" max="11531" width="2.42578125" style="293" customWidth="1"/>
    <col min="11532" max="11534" width="12.7109375" style="293" customWidth="1"/>
    <col min="11535" max="11535" width="0" style="293" hidden="1" customWidth="1"/>
    <col min="11536" max="11777" width="9.140625" style="293"/>
    <col min="11778" max="11782" width="12.7109375" style="293" customWidth="1"/>
    <col min="11783" max="11783" width="3.5703125" style="293" customWidth="1"/>
    <col min="11784" max="11786" width="12.7109375" style="293" customWidth="1"/>
    <col min="11787" max="11787" width="2.42578125" style="293" customWidth="1"/>
    <col min="11788" max="11790" width="12.7109375" style="293" customWidth="1"/>
    <col min="11791" max="11791" width="0" style="293" hidden="1" customWidth="1"/>
    <col min="11792" max="12033" width="9.140625" style="293"/>
    <col min="12034" max="12038" width="12.7109375" style="293" customWidth="1"/>
    <col min="12039" max="12039" width="3.5703125" style="293" customWidth="1"/>
    <col min="12040" max="12042" width="12.7109375" style="293" customWidth="1"/>
    <col min="12043" max="12043" width="2.42578125" style="293" customWidth="1"/>
    <col min="12044" max="12046" width="12.7109375" style="293" customWidth="1"/>
    <col min="12047" max="12047" width="0" style="293" hidden="1" customWidth="1"/>
    <col min="12048" max="12289" width="9.140625" style="293"/>
    <col min="12290" max="12294" width="12.7109375" style="293" customWidth="1"/>
    <col min="12295" max="12295" width="3.5703125" style="293" customWidth="1"/>
    <col min="12296" max="12298" width="12.7109375" style="293" customWidth="1"/>
    <col min="12299" max="12299" width="2.42578125" style="293" customWidth="1"/>
    <col min="12300" max="12302" width="12.7109375" style="293" customWidth="1"/>
    <col min="12303" max="12303" width="0" style="293" hidden="1" customWidth="1"/>
    <col min="12304" max="12545" width="9.140625" style="293"/>
    <col min="12546" max="12550" width="12.7109375" style="293" customWidth="1"/>
    <col min="12551" max="12551" width="3.5703125" style="293" customWidth="1"/>
    <col min="12552" max="12554" width="12.7109375" style="293" customWidth="1"/>
    <col min="12555" max="12555" width="2.42578125" style="293" customWidth="1"/>
    <col min="12556" max="12558" width="12.7109375" style="293" customWidth="1"/>
    <col min="12559" max="12559" width="0" style="293" hidden="1" customWidth="1"/>
    <col min="12560" max="12801" width="9.140625" style="293"/>
    <col min="12802" max="12806" width="12.7109375" style="293" customWidth="1"/>
    <col min="12807" max="12807" width="3.5703125" style="293" customWidth="1"/>
    <col min="12808" max="12810" width="12.7109375" style="293" customWidth="1"/>
    <col min="12811" max="12811" width="2.42578125" style="293" customWidth="1"/>
    <col min="12812" max="12814" width="12.7109375" style="293" customWidth="1"/>
    <col min="12815" max="12815" width="0" style="293" hidden="1" customWidth="1"/>
    <col min="12816" max="13057" width="9.140625" style="293"/>
    <col min="13058" max="13062" width="12.7109375" style="293" customWidth="1"/>
    <col min="13063" max="13063" width="3.5703125" style="293" customWidth="1"/>
    <col min="13064" max="13066" width="12.7109375" style="293" customWidth="1"/>
    <col min="13067" max="13067" width="2.42578125" style="293" customWidth="1"/>
    <col min="13068" max="13070" width="12.7109375" style="293" customWidth="1"/>
    <col min="13071" max="13071" width="0" style="293" hidden="1" customWidth="1"/>
    <col min="13072" max="13313" width="9.140625" style="293"/>
    <col min="13314" max="13318" width="12.7109375" style="293" customWidth="1"/>
    <col min="13319" max="13319" width="3.5703125" style="293" customWidth="1"/>
    <col min="13320" max="13322" width="12.7109375" style="293" customWidth="1"/>
    <col min="13323" max="13323" width="2.42578125" style="293" customWidth="1"/>
    <col min="13324" max="13326" width="12.7109375" style="293" customWidth="1"/>
    <col min="13327" max="13327" width="0" style="293" hidden="1" customWidth="1"/>
    <col min="13328" max="13569" width="9.140625" style="293"/>
    <col min="13570" max="13574" width="12.7109375" style="293" customWidth="1"/>
    <col min="13575" max="13575" width="3.5703125" style="293" customWidth="1"/>
    <col min="13576" max="13578" width="12.7109375" style="293" customWidth="1"/>
    <col min="13579" max="13579" width="2.42578125" style="293" customWidth="1"/>
    <col min="13580" max="13582" width="12.7109375" style="293" customWidth="1"/>
    <col min="13583" max="13583" width="0" style="293" hidden="1" customWidth="1"/>
    <col min="13584" max="13825" width="9.140625" style="293"/>
    <col min="13826" max="13830" width="12.7109375" style="293" customWidth="1"/>
    <col min="13831" max="13831" width="3.5703125" style="293" customWidth="1"/>
    <col min="13832" max="13834" width="12.7109375" style="293" customWidth="1"/>
    <col min="13835" max="13835" width="2.42578125" style="293" customWidth="1"/>
    <col min="13836" max="13838" width="12.7109375" style="293" customWidth="1"/>
    <col min="13839" max="13839" width="0" style="293" hidden="1" customWidth="1"/>
    <col min="13840" max="14081" width="9.140625" style="293"/>
    <col min="14082" max="14086" width="12.7109375" style="293" customWidth="1"/>
    <col min="14087" max="14087" width="3.5703125" style="293" customWidth="1"/>
    <col min="14088" max="14090" width="12.7109375" style="293" customWidth="1"/>
    <col min="14091" max="14091" width="2.42578125" style="293" customWidth="1"/>
    <col min="14092" max="14094" width="12.7109375" style="293" customWidth="1"/>
    <col min="14095" max="14095" width="0" style="293" hidden="1" customWidth="1"/>
    <col min="14096" max="14337" width="9.140625" style="293"/>
    <col min="14338" max="14342" width="12.7109375" style="293" customWidth="1"/>
    <col min="14343" max="14343" width="3.5703125" style="293" customWidth="1"/>
    <col min="14344" max="14346" width="12.7109375" style="293" customWidth="1"/>
    <col min="14347" max="14347" width="2.42578125" style="293" customWidth="1"/>
    <col min="14348" max="14350" width="12.7109375" style="293" customWidth="1"/>
    <col min="14351" max="14351" width="0" style="293" hidden="1" customWidth="1"/>
    <col min="14352" max="14593" width="9.140625" style="293"/>
    <col min="14594" max="14598" width="12.7109375" style="293" customWidth="1"/>
    <col min="14599" max="14599" width="3.5703125" style="293" customWidth="1"/>
    <col min="14600" max="14602" width="12.7109375" style="293" customWidth="1"/>
    <col min="14603" max="14603" width="2.42578125" style="293" customWidth="1"/>
    <col min="14604" max="14606" width="12.7109375" style="293" customWidth="1"/>
    <col min="14607" max="14607" width="0" style="293" hidden="1" customWidth="1"/>
    <col min="14608" max="14849" width="9.140625" style="293"/>
    <col min="14850" max="14854" width="12.7109375" style="293" customWidth="1"/>
    <col min="14855" max="14855" width="3.5703125" style="293" customWidth="1"/>
    <col min="14856" max="14858" width="12.7109375" style="293" customWidth="1"/>
    <col min="14859" max="14859" width="2.42578125" style="293" customWidth="1"/>
    <col min="14860" max="14862" width="12.7109375" style="293" customWidth="1"/>
    <col min="14863" max="14863" width="0" style="293" hidden="1" customWidth="1"/>
    <col min="14864" max="15105" width="9.140625" style="293"/>
    <col min="15106" max="15110" width="12.7109375" style="293" customWidth="1"/>
    <col min="15111" max="15111" width="3.5703125" style="293" customWidth="1"/>
    <col min="15112" max="15114" width="12.7109375" style="293" customWidth="1"/>
    <col min="15115" max="15115" width="2.42578125" style="293" customWidth="1"/>
    <col min="15116" max="15118" width="12.7109375" style="293" customWidth="1"/>
    <col min="15119" max="15119" width="0" style="293" hidden="1" customWidth="1"/>
    <col min="15120" max="15361" width="9.140625" style="293"/>
    <col min="15362" max="15366" width="12.7109375" style="293" customWidth="1"/>
    <col min="15367" max="15367" width="3.5703125" style="293" customWidth="1"/>
    <col min="15368" max="15370" width="12.7109375" style="293" customWidth="1"/>
    <col min="15371" max="15371" width="2.42578125" style="293" customWidth="1"/>
    <col min="15372" max="15374" width="12.7109375" style="293" customWidth="1"/>
    <col min="15375" max="15375" width="0" style="293" hidden="1" customWidth="1"/>
    <col min="15376" max="15617" width="9.140625" style="293"/>
    <col min="15618" max="15622" width="12.7109375" style="293" customWidth="1"/>
    <col min="15623" max="15623" width="3.5703125" style="293" customWidth="1"/>
    <col min="15624" max="15626" width="12.7109375" style="293" customWidth="1"/>
    <col min="15627" max="15627" width="2.42578125" style="293" customWidth="1"/>
    <col min="15628" max="15630" width="12.7109375" style="293" customWidth="1"/>
    <col min="15631" max="15631" width="0" style="293" hidden="1" customWidth="1"/>
    <col min="15632" max="15873" width="9.140625" style="293"/>
    <col min="15874" max="15878" width="12.7109375" style="293" customWidth="1"/>
    <col min="15879" max="15879" width="3.5703125" style="293" customWidth="1"/>
    <col min="15880" max="15882" width="12.7109375" style="293" customWidth="1"/>
    <col min="15883" max="15883" width="2.42578125" style="293" customWidth="1"/>
    <col min="15884" max="15886" width="12.7109375" style="293" customWidth="1"/>
    <col min="15887" max="15887" width="0" style="293" hidden="1" customWidth="1"/>
    <col min="15888" max="16129" width="9.140625" style="293"/>
    <col min="16130" max="16134" width="12.7109375" style="293" customWidth="1"/>
    <col min="16135" max="16135" width="3.5703125" style="293" customWidth="1"/>
    <col min="16136" max="16138" width="12.7109375" style="293" customWidth="1"/>
    <col min="16139" max="16139" width="2.42578125" style="293" customWidth="1"/>
    <col min="16140" max="16142" width="12.7109375" style="293" customWidth="1"/>
    <col min="16143" max="16143" width="0" style="293" hidden="1" customWidth="1"/>
    <col min="16144" max="16384" width="9.140625" style="293"/>
  </cols>
  <sheetData>
    <row r="1" spans="1:22" x14ac:dyDescent="0.2">
      <c r="F1" s="292">
        <f>27/3.6</f>
        <v>7.5</v>
      </c>
      <c r="H1" s="326" t="s">
        <v>65</v>
      </c>
      <c r="I1" s="326"/>
      <c r="J1" s="326"/>
      <c r="L1" s="326"/>
      <c r="M1" s="326"/>
      <c r="N1" s="326"/>
    </row>
    <row r="2" spans="1:22" x14ac:dyDescent="0.2">
      <c r="B2" s="326" t="s">
        <v>66</v>
      </c>
      <c r="C2" s="326"/>
      <c r="D2" s="326"/>
      <c r="E2" s="326"/>
      <c r="F2" s="326"/>
      <c r="H2" s="326" t="s">
        <v>67</v>
      </c>
      <c r="I2" s="326"/>
      <c r="J2" s="326"/>
      <c r="L2" s="326"/>
      <c r="M2" s="326"/>
      <c r="N2" s="326"/>
    </row>
    <row r="3" spans="1:22" s="295" customFormat="1" x14ac:dyDescent="0.2">
      <c r="A3" s="294"/>
      <c r="B3" s="295" t="s">
        <v>68</v>
      </c>
      <c r="C3" s="295" t="s">
        <v>69</v>
      </c>
      <c r="D3" s="295" t="s">
        <v>70</v>
      </c>
      <c r="E3" s="295" t="s">
        <v>69</v>
      </c>
      <c r="F3" s="295" t="s">
        <v>71</v>
      </c>
      <c r="H3" s="295" t="s">
        <v>72</v>
      </c>
      <c r="I3" s="295" t="s">
        <v>39</v>
      </c>
      <c r="J3" s="295" t="s">
        <v>40</v>
      </c>
    </row>
    <row r="4" spans="1:22" x14ac:dyDescent="0.2">
      <c r="B4" s="296">
        <v>0.02</v>
      </c>
      <c r="C4" s="296"/>
      <c r="D4" s="296">
        <v>0.02</v>
      </c>
      <c r="E4" s="296"/>
      <c r="F4" s="296"/>
      <c r="G4" s="44"/>
      <c r="H4" s="296">
        <v>0.02</v>
      </c>
      <c r="I4" s="296">
        <v>0.02</v>
      </c>
      <c r="J4" s="296">
        <v>0.02</v>
      </c>
      <c r="K4" s="44"/>
      <c r="L4" s="296"/>
      <c r="M4" s="296"/>
      <c r="N4" s="296"/>
    </row>
    <row r="5" spans="1:22" x14ac:dyDescent="0.2">
      <c r="A5" s="47">
        <v>41214</v>
      </c>
      <c r="B5" s="44">
        <v>3.0655000000000001</v>
      </c>
      <c r="C5" s="44">
        <f t="shared" ref="C5:C68" si="0">D5-B5</f>
        <v>1.0850000000000009</v>
      </c>
      <c r="D5" s="44">
        <v>4.150500000000001</v>
      </c>
      <c r="E5" s="44"/>
      <c r="F5" s="44"/>
      <c r="G5" s="44"/>
      <c r="H5" s="44">
        <v>35.247</v>
      </c>
      <c r="I5" s="44">
        <v>37.851761000000003</v>
      </c>
      <c r="J5" s="44">
        <v>32.712445000000002</v>
      </c>
      <c r="K5" s="44"/>
      <c r="L5" s="44"/>
      <c r="M5" s="46"/>
      <c r="N5" s="46"/>
      <c r="O5" s="293">
        <v>0.48888888888888798</v>
      </c>
      <c r="T5" s="45"/>
      <c r="U5" s="45"/>
      <c r="V5" s="45"/>
    </row>
    <row r="6" spans="1:22" x14ac:dyDescent="0.2">
      <c r="A6" s="47">
        <v>41244</v>
      </c>
      <c r="B6" s="44">
        <v>3.325166666666667</v>
      </c>
      <c r="C6" s="44">
        <f t="shared" si="0"/>
        <v>2.3650000000000002</v>
      </c>
      <c r="D6" s="44">
        <v>5.6901666666666673</v>
      </c>
      <c r="E6" s="44"/>
      <c r="F6" s="44"/>
      <c r="G6" s="44"/>
      <c r="H6" s="44">
        <v>51.514000000000003</v>
      </c>
      <c r="I6" s="44">
        <v>60.380267000000003</v>
      </c>
      <c r="J6" s="44">
        <v>44.212817999999999</v>
      </c>
      <c r="K6" s="44"/>
      <c r="L6" s="44"/>
      <c r="M6" s="46"/>
      <c r="N6" s="46"/>
      <c r="O6" s="293">
        <v>0.45161290322580599</v>
      </c>
      <c r="T6" s="45"/>
      <c r="U6" s="45"/>
      <c r="V6" s="45"/>
    </row>
    <row r="7" spans="1:22" x14ac:dyDescent="0.2">
      <c r="A7" s="47">
        <v>41275</v>
      </c>
      <c r="B7" s="44">
        <v>3.6466666666666665</v>
      </c>
      <c r="C7" s="44">
        <f t="shared" si="0"/>
        <v>4.5869999999999997</v>
      </c>
      <c r="D7" s="44">
        <v>8.2336666666666662</v>
      </c>
      <c r="E7" s="44"/>
      <c r="F7" s="44"/>
      <c r="G7" s="44"/>
      <c r="H7" s="44">
        <v>81.459400000000002</v>
      </c>
      <c r="I7" s="44">
        <v>98.765978000000004</v>
      </c>
      <c r="J7" s="44">
        <v>64.521249999999995</v>
      </c>
      <c r="K7" s="44"/>
      <c r="L7" s="44"/>
      <c r="M7" s="46"/>
      <c r="N7" s="46"/>
      <c r="O7" s="293">
        <v>0.494623655913978</v>
      </c>
      <c r="T7" s="45"/>
      <c r="U7" s="45"/>
      <c r="V7" s="45"/>
    </row>
    <row r="8" spans="1:22" x14ac:dyDescent="0.2">
      <c r="A8" s="47">
        <v>41306</v>
      </c>
      <c r="B8" s="44">
        <v>3.5318333333333332</v>
      </c>
      <c r="C8" s="44">
        <f t="shared" si="0"/>
        <v>3.4160000000000004</v>
      </c>
      <c r="D8" s="44">
        <v>6.9478333333333335</v>
      </c>
      <c r="E8" s="44"/>
      <c r="F8" s="44"/>
      <c r="G8" s="44"/>
      <c r="H8" s="44">
        <v>56.956299999999999</v>
      </c>
      <c r="I8" s="44">
        <v>61.298968000000002</v>
      </c>
      <c r="J8" s="44">
        <v>53.010112999999997</v>
      </c>
      <c r="K8" s="44"/>
      <c r="L8" s="44"/>
      <c r="M8" s="46"/>
      <c r="N8" s="46"/>
      <c r="O8" s="293">
        <v>0.476190476190476</v>
      </c>
      <c r="T8" s="45"/>
      <c r="U8" s="45"/>
      <c r="V8" s="45"/>
    </row>
    <row r="9" spans="1:22" x14ac:dyDescent="0.2">
      <c r="A9" s="47">
        <v>41334</v>
      </c>
      <c r="B9" s="44">
        <v>3.3983333333333334</v>
      </c>
      <c r="C9" s="44">
        <f t="shared" si="0"/>
        <v>1.1369999999999996</v>
      </c>
      <c r="D9" s="44">
        <v>4.535333333333333</v>
      </c>
      <c r="E9" s="44"/>
      <c r="F9" s="44"/>
      <c r="G9" s="44"/>
      <c r="H9" s="44">
        <v>37.128999999999998</v>
      </c>
      <c r="I9" s="44">
        <v>40.724879999999999</v>
      </c>
      <c r="J9" s="44">
        <v>34.166150999999999</v>
      </c>
      <c r="K9" s="44"/>
      <c r="L9" s="44"/>
      <c r="M9" s="46"/>
      <c r="N9" s="46"/>
      <c r="O9" s="293">
        <v>0.45161290322580599</v>
      </c>
      <c r="T9" s="45"/>
      <c r="U9" s="45"/>
      <c r="V9" s="45"/>
    </row>
    <row r="10" spans="1:22" x14ac:dyDescent="0.2">
      <c r="A10" s="47">
        <v>41365</v>
      </c>
      <c r="B10" s="44">
        <v>3.2653333333333334</v>
      </c>
      <c r="C10" s="44">
        <f t="shared" si="0"/>
        <v>0.37000000000000011</v>
      </c>
      <c r="D10" s="44">
        <v>3.6353333333333335</v>
      </c>
      <c r="E10" s="44"/>
      <c r="F10" s="44"/>
      <c r="G10" s="44"/>
      <c r="H10" s="44">
        <v>31.141200000000001</v>
      </c>
      <c r="I10" s="44">
        <v>33.83625</v>
      </c>
      <c r="J10" s="44">
        <v>28.562961000000001</v>
      </c>
      <c r="K10" s="44"/>
      <c r="L10" s="44"/>
      <c r="M10" s="46"/>
      <c r="N10" s="46"/>
      <c r="O10" s="293">
        <v>0.48888888888888798</v>
      </c>
      <c r="T10" s="45"/>
      <c r="U10" s="45"/>
      <c r="V10" s="45"/>
    </row>
    <row r="11" spans="1:22" x14ac:dyDescent="0.2">
      <c r="A11" s="47">
        <v>41395</v>
      </c>
      <c r="B11" s="44">
        <v>3.4073333333333329</v>
      </c>
      <c r="C11" s="44">
        <f t="shared" si="0"/>
        <v>0.38600000000000012</v>
      </c>
      <c r="D11" s="44">
        <v>3.793333333333333</v>
      </c>
      <c r="E11" s="44"/>
      <c r="F11" s="44"/>
      <c r="G11" s="44"/>
      <c r="H11" s="44">
        <v>31.8277</v>
      </c>
      <c r="I11" s="44">
        <v>34.651466999999997</v>
      </c>
      <c r="J11" s="44">
        <v>29.061329000000001</v>
      </c>
      <c r="K11" s="44"/>
      <c r="L11" s="44"/>
      <c r="M11" s="46"/>
      <c r="N11" s="46"/>
      <c r="O11" s="293">
        <v>0.494623655913978</v>
      </c>
      <c r="T11" s="45"/>
      <c r="U11" s="45"/>
      <c r="V11" s="45"/>
    </row>
    <row r="12" spans="1:22" x14ac:dyDescent="0.2">
      <c r="A12" s="47">
        <v>41426</v>
      </c>
      <c r="B12" s="44">
        <v>3.5541666666666663</v>
      </c>
      <c r="C12" s="44">
        <f t="shared" si="0"/>
        <v>0.39000000000000012</v>
      </c>
      <c r="D12" s="44">
        <v>3.9441666666666664</v>
      </c>
      <c r="E12" s="44"/>
      <c r="F12" s="44"/>
      <c r="G12" s="44"/>
      <c r="H12" s="44">
        <v>36.137900000000002</v>
      </c>
      <c r="I12" s="44">
        <v>44.410156000000001</v>
      </c>
      <c r="J12" s="44">
        <v>29.521850000000001</v>
      </c>
      <c r="K12" s="44"/>
      <c r="L12" s="44"/>
      <c r="M12" s="46"/>
      <c r="N12" s="46"/>
      <c r="O12" s="293">
        <v>0.44444444444444398</v>
      </c>
      <c r="T12" s="45"/>
      <c r="U12" s="45"/>
      <c r="V12" s="45"/>
    </row>
    <row r="13" spans="1:22" x14ac:dyDescent="0.2">
      <c r="A13" s="47">
        <v>41456</v>
      </c>
      <c r="B13" s="44">
        <v>3.7011666666666665</v>
      </c>
      <c r="C13" s="44">
        <f t="shared" si="0"/>
        <v>0.39999999999999947</v>
      </c>
      <c r="D13" s="44">
        <v>4.101166666666666</v>
      </c>
      <c r="E13" s="44"/>
      <c r="F13" s="44"/>
      <c r="G13" s="44"/>
      <c r="H13" s="44">
        <v>47.484699999999997</v>
      </c>
      <c r="I13" s="44">
        <v>63.41019</v>
      </c>
      <c r="J13" s="44">
        <v>31.900372000000001</v>
      </c>
      <c r="K13" s="44"/>
      <c r="L13" s="44"/>
      <c r="M13" s="46"/>
      <c r="N13" s="46"/>
      <c r="O13" s="293">
        <v>0.494623655913978</v>
      </c>
      <c r="T13" s="45"/>
      <c r="U13" s="45"/>
      <c r="V13" s="45"/>
    </row>
    <row r="14" spans="1:22" x14ac:dyDescent="0.2">
      <c r="A14" s="47">
        <v>41487</v>
      </c>
      <c r="B14" s="44">
        <v>3.5861666666666663</v>
      </c>
      <c r="C14" s="44">
        <f t="shared" si="0"/>
        <v>0.41000000000000014</v>
      </c>
      <c r="D14" s="44">
        <v>3.9961666666666664</v>
      </c>
      <c r="E14" s="44"/>
      <c r="F14" s="44"/>
      <c r="G14" s="44"/>
      <c r="H14" s="44">
        <v>38.045900000000003</v>
      </c>
      <c r="I14" s="44">
        <v>46.116590000000002</v>
      </c>
      <c r="J14" s="44">
        <v>30.796734000000001</v>
      </c>
      <c r="K14" s="44"/>
      <c r="L14" s="44"/>
      <c r="M14" s="46"/>
      <c r="N14" s="46"/>
      <c r="O14" s="293">
        <v>0.473118279569892</v>
      </c>
      <c r="T14" s="45"/>
      <c r="U14" s="45"/>
      <c r="V14" s="45"/>
    </row>
    <row r="15" spans="1:22" x14ac:dyDescent="0.2">
      <c r="A15" s="47">
        <v>41518</v>
      </c>
      <c r="B15" s="44">
        <v>3.4628333333333332</v>
      </c>
      <c r="C15" s="44">
        <f t="shared" si="0"/>
        <v>0.4049999999999998</v>
      </c>
      <c r="D15" s="44">
        <v>3.867833333333333</v>
      </c>
      <c r="E15" s="44"/>
      <c r="F15" s="44"/>
      <c r="G15" s="44"/>
      <c r="H15" s="44">
        <v>32.908900000000003</v>
      </c>
      <c r="I15" s="44">
        <v>35.907797000000002</v>
      </c>
      <c r="J15" s="44">
        <v>30.03276</v>
      </c>
      <c r="K15" s="44"/>
      <c r="L15" s="44"/>
      <c r="M15" s="46"/>
      <c r="N15" s="46"/>
      <c r="O15" s="293">
        <v>0.46666666666666601</v>
      </c>
      <c r="T15" s="45"/>
      <c r="U15" s="45"/>
      <c r="V15" s="45"/>
    </row>
    <row r="16" spans="1:22" x14ac:dyDescent="0.2">
      <c r="A16" s="47">
        <v>41548</v>
      </c>
      <c r="B16" s="44">
        <v>3.4778333333333338</v>
      </c>
      <c r="C16" s="44">
        <f t="shared" si="0"/>
        <v>0.4049999999999998</v>
      </c>
      <c r="D16" s="44">
        <v>3.8828333333333336</v>
      </c>
      <c r="E16" s="44"/>
      <c r="F16" s="44"/>
      <c r="G16" s="44"/>
      <c r="H16" s="44">
        <v>33.082000000000001</v>
      </c>
      <c r="I16" s="44">
        <v>36.014319999999998</v>
      </c>
      <c r="J16" s="44">
        <v>30.170611000000001</v>
      </c>
      <c r="K16" s="44"/>
      <c r="L16" s="44"/>
      <c r="M16" s="46"/>
      <c r="N16" s="46"/>
      <c r="O16" s="293">
        <v>0.494623655913978</v>
      </c>
      <c r="T16" s="45"/>
      <c r="U16" s="45"/>
      <c r="V16" s="45"/>
    </row>
    <row r="17" spans="1:22" x14ac:dyDescent="0.2">
      <c r="A17" s="47">
        <v>41579</v>
      </c>
      <c r="B17" s="44">
        <v>3.657</v>
      </c>
      <c r="C17" s="44">
        <f t="shared" si="0"/>
        <v>0.51799999999999979</v>
      </c>
      <c r="D17" s="44">
        <v>4.1749999999999998</v>
      </c>
      <c r="E17" s="44"/>
      <c r="F17" s="44"/>
      <c r="G17" s="44"/>
      <c r="H17" s="44">
        <v>35.572400000000002</v>
      </c>
      <c r="I17" s="44">
        <v>38.340891999999997</v>
      </c>
      <c r="J17" s="44">
        <v>33.024504999999998</v>
      </c>
      <c r="K17" s="44"/>
      <c r="L17" s="44"/>
      <c r="M17" s="46"/>
      <c r="N17" s="46"/>
      <c r="O17" s="293">
        <v>0.46666666666666601</v>
      </c>
      <c r="T17" s="45"/>
      <c r="U17" s="45"/>
      <c r="V17" s="45"/>
    </row>
    <row r="18" spans="1:22" x14ac:dyDescent="0.2">
      <c r="A18" s="47">
        <v>41609</v>
      </c>
      <c r="B18" s="44">
        <v>3.8819999999999997</v>
      </c>
      <c r="C18" s="44">
        <f t="shared" si="0"/>
        <v>2.6210000000000004</v>
      </c>
      <c r="D18" s="44">
        <v>6.5030000000000001</v>
      </c>
      <c r="E18" s="44"/>
      <c r="F18" s="44"/>
      <c r="G18" s="44"/>
      <c r="H18" s="44">
        <v>58.717300000000002</v>
      </c>
      <c r="I18" s="44">
        <v>68.280085</v>
      </c>
      <c r="J18" s="44">
        <v>50.129846000000001</v>
      </c>
      <c r="K18" s="44"/>
      <c r="L18" s="44"/>
      <c r="M18" s="46"/>
      <c r="N18" s="46"/>
      <c r="O18" s="293">
        <v>0.473118279569892</v>
      </c>
      <c r="T18" s="45"/>
      <c r="U18" s="45"/>
      <c r="V18" s="45"/>
    </row>
    <row r="19" spans="1:22" x14ac:dyDescent="0.2">
      <c r="A19" s="47">
        <v>41640</v>
      </c>
      <c r="B19" s="44">
        <v>4.1839999999999993</v>
      </c>
      <c r="C19" s="44">
        <f t="shared" si="0"/>
        <v>4.9550000000000001</v>
      </c>
      <c r="D19" s="44">
        <v>9.1389999999999993</v>
      </c>
      <c r="E19" s="44"/>
      <c r="F19" s="44"/>
      <c r="G19" s="44"/>
      <c r="H19" s="44">
        <v>87.803799999999995</v>
      </c>
      <c r="I19" s="44">
        <v>104.67524400000001</v>
      </c>
      <c r="J19" s="44">
        <v>71.291595000000001</v>
      </c>
      <c r="K19" s="44"/>
      <c r="L19" s="44"/>
      <c r="M19" s="46"/>
      <c r="N19" s="46"/>
      <c r="O19" s="293">
        <v>0.494623655913978</v>
      </c>
      <c r="T19" s="45"/>
      <c r="U19" s="45"/>
      <c r="V19" s="45"/>
    </row>
    <row r="20" spans="1:22" x14ac:dyDescent="0.2">
      <c r="A20" s="47">
        <v>41671</v>
      </c>
      <c r="B20" s="44">
        <v>4.1758333333333333</v>
      </c>
      <c r="C20" s="44">
        <f t="shared" si="0"/>
        <v>4.1149999999999984</v>
      </c>
      <c r="D20" s="44">
        <v>8.2908333333333317</v>
      </c>
      <c r="E20" s="44"/>
      <c r="F20" s="44"/>
      <c r="G20" s="44"/>
      <c r="H20" s="44">
        <v>66.980199999999996</v>
      </c>
      <c r="I20" s="44">
        <v>71.779531000000006</v>
      </c>
      <c r="J20" s="44">
        <v>62.616987999999999</v>
      </c>
      <c r="K20" s="44"/>
      <c r="L20" s="44"/>
      <c r="M20" s="46"/>
      <c r="N20" s="46"/>
      <c r="O20" s="293">
        <v>0.476190476190476</v>
      </c>
      <c r="T20" s="45"/>
      <c r="U20" s="45"/>
      <c r="V20" s="45"/>
    </row>
    <row r="21" spans="1:22" x14ac:dyDescent="0.2">
      <c r="A21" s="47">
        <v>41699</v>
      </c>
      <c r="B21" s="44">
        <v>4.0208333333333339</v>
      </c>
      <c r="C21" s="44">
        <f t="shared" si="0"/>
        <v>0.91500000000000004</v>
      </c>
      <c r="D21" s="44">
        <v>4.935833333333334</v>
      </c>
      <c r="E21" s="44"/>
      <c r="F21" s="44"/>
      <c r="G21" s="44"/>
      <c r="H21" s="44">
        <v>39.539200000000001</v>
      </c>
      <c r="I21" s="44">
        <v>43.191457999999997</v>
      </c>
      <c r="J21" s="44">
        <v>36.532549000000003</v>
      </c>
      <c r="K21" s="44"/>
      <c r="L21" s="44"/>
      <c r="M21" s="46"/>
      <c r="N21" s="46"/>
      <c r="O21" s="293">
        <v>0.45161290322580599</v>
      </c>
      <c r="T21" s="45"/>
      <c r="U21" s="45"/>
      <c r="V21" s="45"/>
    </row>
    <row r="22" spans="1:22" x14ac:dyDescent="0.2">
      <c r="A22" s="47">
        <v>41730</v>
      </c>
      <c r="B22" s="44">
        <v>3.8283333333333331</v>
      </c>
      <c r="C22" s="44">
        <f t="shared" si="0"/>
        <v>0.28600000000000048</v>
      </c>
      <c r="D22" s="44">
        <v>4.1143333333333336</v>
      </c>
      <c r="E22" s="44"/>
      <c r="F22" s="44"/>
      <c r="G22" s="44"/>
      <c r="H22" s="44">
        <v>34.485500000000002</v>
      </c>
      <c r="I22" s="44">
        <v>37.517811999999999</v>
      </c>
      <c r="J22" s="44">
        <v>31.589075999999999</v>
      </c>
      <c r="K22" s="44"/>
      <c r="L22" s="44"/>
      <c r="M22" s="46"/>
      <c r="N22" s="46"/>
      <c r="O22" s="293">
        <v>0.48888888888888798</v>
      </c>
      <c r="T22" s="45"/>
      <c r="U22" s="45"/>
      <c r="V22" s="45"/>
    </row>
    <row r="23" spans="1:22" x14ac:dyDescent="0.2">
      <c r="A23" s="47">
        <v>41760</v>
      </c>
      <c r="B23" s="44">
        <v>3.9586666666666668</v>
      </c>
      <c r="C23" s="44">
        <f t="shared" si="0"/>
        <v>0.29899999999999949</v>
      </c>
      <c r="D23" s="44">
        <v>4.2576666666666663</v>
      </c>
      <c r="E23" s="44"/>
      <c r="F23" s="44"/>
      <c r="G23" s="44"/>
      <c r="H23" s="44">
        <v>34.952599999999997</v>
      </c>
      <c r="I23" s="44">
        <v>38.381363</v>
      </c>
      <c r="J23" s="44">
        <v>31.873698000000001</v>
      </c>
      <c r="K23" s="44"/>
      <c r="L23" s="44"/>
      <c r="M23" s="46"/>
      <c r="N23" s="46"/>
      <c r="O23" s="293">
        <v>0.473118279569892</v>
      </c>
      <c r="T23" s="45"/>
      <c r="U23" s="45"/>
      <c r="V23" s="45"/>
    </row>
    <row r="24" spans="1:22" x14ac:dyDescent="0.2">
      <c r="A24" s="47">
        <v>41791</v>
      </c>
      <c r="B24" s="44">
        <v>4.0196666666666667</v>
      </c>
      <c r="C24" s="44">
        <f t="shared" si="0"/>
        <v>0.3019999999999996</v>
      </c>
      <c r="D24" s="44">
        <v>4.3216666666666663</v>
      </c>
      <c r="E24" s="44"/>
      <c r="F24" s="44"/>
      <c r="G24" s="44"/>
      <c r="H24" s="44">
        <v>39.790900000000001</v>
      </c>
      <c r="I24" s="44">
        <v>48.428125000000001</v>
      </c>
      <c r="J24" s="44">
        <v>32.233801999999997</v>
      </c>
      <c r="K24" s="44"/>
      <c r="L24" s="44"/>
      <c r="M24" s="46"/>
      <c r="N24" s="46"/>
      <c r="O24" s="293">
        <v>0.46666666666666601</v>
      </c>
      <c r="T24" s="45"/>
      <c r="U24" s="45"/>
      <c r="V24" s="45"/>
    </row>
    <row r="25" spans="1:22" x14ac:dyDescent="0.2">
      <c r="A25" s="47">
        <v>41821</v>
      </c>
      <c r="B25" s="44">
        <v>4.1128333333333336</v>
      </c>
      <c r="C25" s="44">
        <f t="shared" si="0"/>
        <v>0.30999999999999961</v>
      </c>
      <c r="D25" s="44">
        <v>4.4228333333333332</v>
      </c>
      <c r="E25" s="44"/>
      <c r="F25" s="44"/>
      <c r="G25" s="44"/>
      <c r="H25" s="44">
        <v>51.622500000000002</v>
      </c>
      <c r="I25" s="44">
        <v>69.345162999999999</v>
      </c>
      <c r="J25" s="44">
        <v>34.277659</v>
      </c>
      <c r="K25" s="44"/>
      <c r="L25" s="44"/>
      <c r="M25" s="46"/>
      <c r="N25" s="46"/>
      <c r="O25" s="293">
        <v>0.494623655913978</v>
      </c>
      <c r="T25" s="45"/>
      <c r="U25" s="45"/>
      <c r="V25" s="45"/>
    </row>
    <row r="26" spans="1:22" x14ac:dyDescent="0.2">
      <c r="A26" s="47">
        <v>41852</v>
      </c>
      <c r="B26" s="44">
        <v>4.1223333333333336</v>
      </c>
      <c r="C26" s="44">
        <f t="shared" si="0"/>
        <v>0.31699999999999928</v>
      </c>
      <c r="D26" s="44">
        <v>4.4393333333333329</v>
      </c>
      <c r="E26" s="44"/>
      <c r="F26" s="44"/>
      <c r="G26" s="44"/>
      <c r="H26" s="44">
        <v>41.218299999999999</v>
      </c>
      <c r="I26" s="44">
        <v>50.211010999999999</v>
      </c>
      <c r="J26" s="44">
        <v>33.813136999999998</v>
      </c>
      <c r="K26" s="44"/>
      <c r="L26" s="44"/>
      <c r="M26" s="46"/>
      <c r="N26" s="46"/>
      <c r="O26" s="293">
        <v>0.45161290322580599</v>
      </c>
      <c r="T26" s="45"/>
      <c r="U26" s="45"/>
      <c r="V26" s="45"/>
    </row>
    <row r="27" spans="1:22" x14ac:dyDescent="0.2">
      <c r="A27" s="47">
        <v>41883</v>
      </c>
      <c r="B27" s="44">
        <v>3.9991133333333337</v>
      </c>
      <c r="C27" s="44">
        <f t="shared" si="0"/>
        <v>0.31299999999999972</v>
      </c>
      <c r="D27" s="44">
        <v>4.3121133333333335</v>
      </c>
      <c r="E27" s="44"/>
      <c r="F27" s="44"/>
      <c r="G27" s="44"/>
      <c r="H27" s="44">
        <v>36.139600000000002</v>
      </c>
      <c r="I27" s="44">
        <v>39.246136</v>
      </c>
      <c r="J27" s="44">
        <v>33.080461</v>
      </c>
      <c r="K27" s="44"/>
      <c r="L27" s="44"/>
      <c r="M27" s="46"/>
      <c r="N27" s="46"/>
      <c r="O27" s="293">
        <v>0.48888888888888798</v>
      </c>
      <c r="T27" s="45"/>
      <c r="U27" s="45"/>
      <c r="V27" s="45"/>
    </row>
    <row r="28" spans="1:22" x14ac:dyDescent="0.2">
      <c r="A28" s="47">
        <v>41913</v>
      </c>
      <c r="B28" s="44">
        <v>3.8585533333333335</v>
      </c>
      <c r="C28" s="44">
        <f t="shared" si="0"/>
        <v>0.31300000000000017</v>
      </c>
      <c r="D28" s="44">
        <v>4.1715533333333337</v>
      </c>
      <c r="E28" s="44"/>
      <c r="F28" s="44"/>
      <c r="G28" s="44"/>
      <c r="H28" s="44">
        <v>35.228299999999997</v>
      </c>
      <c r="I28" s="44">
        <v>38.197989</v>
      </c>
      <c r="J28" s="44">
        <v>32.278750000000002</v>
      </c>
      <c r="K28" s="44"/>
      <c r="L28" s="44"/>
      <c r="M28" s="46"/>
      <c r="N28" s="46"/>
      <c r="O28" s="293">
        <v>0.494623655913978</v>
      </c>
      <c r="T28" s="45"/>
      <c r="U28" s="45"/>
      <c r="V28" s="45"/>
    </row>
    <row r="29" spans="1:22" x14ac:dyDescent="0.2">
      <c r="A29" s="47">
        <v>41944</v>
      </c>
      <c r="B29" s="44">
        <v>4.0461066666666667</v>
      </c>
      <c r="C29" s="44">
        <f t="shared" si="0"/>
        <v>0.4449999999999994</v>
      </c>
      <c r="D29" s="44">
        <v>4.4911066666666661</v>
      </c>
      <c r="E29" s="44"/>
      <c r="F29" s="44"/>
      <c r="G29" s="44"/>
      <c r="H29" s="44">
        <v>38.218899999999998</v>
      </c>
      <c r="I29" s="44">
        <v>41.378250000000001</v>
      </c>
      <c r="J29" s="44">
        <v>35.493675000000003</v>
      </c>
      <c r="K29" s="44"/>
      <c r="L29" s="44"/>
      <c r="M29" s="46"/>
      <c r="N29" s="46"/>
      <c r="O29" s="293">
        <v>0.44444444444444398</v>
      </c>
      <c r="T29" s="45"/>
      <c r="U29" s="45"/>
      <c r="V29" s="45"/>
    </row>
    <row r="30" spans="1:22" x14ac:dyDescent="0.2">
      <c r="A30" s="47">
        <v>41974</v>
      </c>
      <c r="B30" s="44">
        <v>4.2717866666666664</v>
      </c>
      <c r="C30" s="44">
        <f t="shared" si="0"/>
        <v>2.2509999999999994</v>
      </c>
      <c r="D30" s="44">
        <v>6.5227866666666658</v>
      </c>
      <c r="E30" s="44"/>
      <c r="F30" s="44"/>
      <c r="G30" s="44"/>
      <c r="H30" s="44">
        <v>60.670400000000001</v>
      </c>
      <c r="I30" s="44">
        <v>71.054157000000004</v>
      </c>
      <c r="J30" s="44">
        <v>50.507525999999999</v>
      </c>
      <c r="K30" s="44"/>
      <c r="L30" s="44"/>
      <c r="M30" s="46"/>
      <c r="N30" s="46"/>
      <c r="O30" s="293">
        <v>0.494623655913978</v>
      </c>
      <c r="T30" s="45"/>
      <c r="U30" s="45"/>
      <c r="V30" s="45"/>
    </row>
    <row r="31" spans="1:22" x14ac:dyDescent="0.2">
      <c r="A31" s="47">
        <v>42005</v>
      </c>
      <c r="B31" s="44">
        <v>4.5734133333333338</v>
      </c>
      <c r="C31" s="44">
        <f t="shared" si="0"/>
        <v>4.2549999999999999</v>
      </c>
      <c r="D31" s="44">
        <v>8.8284133333333337</v>
      </c>
      <c r="E31" s="44"/>
      <c r="F31" s="44"/>
      <c r="G31" s="44"/>
      <c r="H31" s="44">
        <v>86.779700000000005</v>
      </c>
      <c r="I31" s="44">
        <v>105.73232899999999</v>
      </c>
      <c r="J31" s="44">
        <v>69.761122</v>
      </c>
      <c r="K31" s="44"/>
      <c r="L31" s="44"/>
      <c r="M31" s="46"/>
      <c r="N31" s="46"/>
      <c r="O31" s="293">
        <v>0.473118279569892</v>
      </c>
      <c r="T31" s="45"/>
      <c r="U31" s="45"/>
      <c r="V31" s="45"/>
    </row>
    <row r="32" spans="1:22" x14ac:dyDescent="0.2">
      <c r="A32" s="47">
        <v>42036</v>
      </c>
      <c r="B32" s="44">
        <v>4.5617600000000005</v>
      </c>
      <c r="C32" s="44">
        <f t="shared" si="0"/>
        <v>3.5340000000000016</v>
      </c>
      <c r="D32" s="44">
        <v>8.0957600000000021</v>
      </c>
      <c r="E32" s="44"/>
      <c r="F32" s="44"/>
      <c r="G32" s="44"/>
      <c r="H32" s="44">
        <v>66.775700000000001</v>
      </c>
      <c r="I32" s="44">
        <v>72.246061999999995</v>
      </c>
      <c r="J32" s="44">
        <v>61.801817999999997</v>
      </c>
      <c r="K32" s="44"/>
      <c r="L32" s="44"/>
      <c r="M32" s="46"/>
      <c r="N32" s="46"/>
      <c r="O32" s="293">
        <v>0.476190476190476</v>
      </c>
      <c r="T32" s="45"/>
      <c r="U32" s="45"/>
      <c r="V32" s="45"/>
    </row>
    <row r="33" spans="1:22" x14ac:dyDescent="0.2">
      <c r="A33" s="47">
        <v>42064</v>
      </c>
      <c r="B33" s="44">
        <v>4.360733333333334</v>
      </c>
      <c r="C33" s="44">
        <f t="shared" si="0"/>
        <v>0.78599999999999959</v>
      </c>
      <c r="D33" s="44">
        <v>5.1467333333333336</v>
      </c>
      <c r="E33" s="44"/>
      <c r="F33" s="44"/>
      <c r="G33" s="44"/>
      <c r="H33" s="44">
        <v>42.474200000000003</v>
      </c>
      <c r="I33" s="44">
        <v>46.644829000000001</v>
      </c>
      <c r="J33" s="44">
        <v>38.729565999999998</v>
      </c>
      <c r="K33" s="44"/>
      <c r="L33" s="44"/>
      <c r="M33" s="46"/>
      <c r="N33" s="46"/>
      <c r="O33" s="293">
        <v>0.473118279569892</v>
      </c>
      <c r="T33" s="45"/>
      <c r="U33" s="45"/>
      <c r="V33" s="45"/>
    </row>
    <row r="34" spans="1:22" x14ac:dyDescent="0.2">
      <c r="A34" s="47">
        <v>42095</v>
      </c>
      <c r="B34" s="44">
        <v>4.1118266666666665</v>
      </c>
      <c r="C34" s="44">
        <f t="shared" si="0"/>
        <v>0.27800000000000047</v>
      </c>
      <c r="D34" s="44">
        <v>4.389826666666667</v>
      </c>
      <c r="E34" s="44"/>
      <c r="F34" s="44"/>
      <c r="G34" s="44"/>
      <c r="H34" s="44">
        <v>37.456400000000002</v>
      </c>
      <c r="I34" s="44">
        <v>41.120851999999999</v>
      </c>
      <c r="J34" s="44">
        <v>33.950679000000001</v>
      </c>
      <c r="K34" s="44"/>
      <c r="L34" s="44"/>
      <c r="M34" s="46"/>
      <c r="N34" s="46"/>
      <c r="O34" s="293">
        <v>0.48888888888888798</v>
      </c>
      <c r="T34" s="45"/>
      <c r="U34" s="45"/>
      <c r="V34" s="45"/>
    </row>
    <row r="35" spans="1:22" x14ac:dyDescent="0.2">
      <c r="A35" s="47">
        <v>42125</v>
      </c>
      <c r="B35" s="44">
        <v>4.2882800000000003</v>
      </c>
      <c r="C35" s="44">
        <f t="shared" si="0"/>
        <v>0.29000000000000004</v>
      </c>
      <c r="D35" s="44">
        <v>4.5782800000000003</v>
      </c>
      <c r="E35" s="44"/>
      <c r="F35" s="44"/>
      <c r="G35" s="44"/>
      <c r="H35" s="44">
        <v>38.108499999999999</v>
      </c>
      <c r="I35" s="44">
        <v>42.553125000000001</v>
      </c>
      <c r="J35" s="44">
        <v>34.449117000000001</v>
      </c>
      <c r="K35" s="44"/>
      <c r="L35" s="44"/>
      <c r="M35" s="46"/>
      <c r="N35" s="46"/>
      <c r="O35" s="293">
        <v>0.45161290322580599</v>
      </c>
      <c r="T35" s="45"/>
      <c r="U35" s="45"/>
      <c r="V35" s="45"/>
    </row>
    <row r="36" spans="1:22" x14ac:dyDescent="0.2">
      <c r="A36" s="47">
        <v>42156</v>
      </c>
      <c r="B36" s="44">
        <v>4.3653466666666665</v>
      </c>
      <c r="C36" s="44">
        <f t="shared" si="0"/>
        <v>0.29299999999999926</v>
      </c>
      <c r="D36" s="44">
        <v>4.6583466666666657</v>
      </c>
      <c r="E36" s="44"/>
      <c r="F36" s="44"/>
      <c r="G36" s="44"/>
      <c r="H36" s="44">
        <v>43.770800000000001</v>
      </c>
      <c r="I36" s="44">
        <v>53.077300999999999</v>
      </c>
      <c r="J36" s="44">
        <v>34.866494000000003</v>
      </c>
      <c r="K36" s="44"/>
      <c r="L36" s="44"/>
      <c r="M36" s="46"/>
      <c r="N36" s="46"/>
      <c r="O36" s="293">
        <v>0.48888888888888798</v>
      </c>
      <c r="T36" s="45"/>
      <c r="U36" s="45"/>
      <c r="V36" s="45"/>
    </row>
    <row r="37" spans="1:22" x14ac:dyDescent="0.2">
      <c r="A37" s="47">
        <v>42186</v>
      </c>
      <c r="B37" s="44">
        <v>4.4824666666666673</v>
      </c>
      <c r="C37" s="44">
        <f t="shared" si="0"/>
        <v>0.30099999999999927</v>
      </c>
      <c r="D37" s="44">
        <v>4.7834666666666665</v>
      </c>
      <c r="E37" s="44"/>
      <c r="F37" s="44"/>
      <c r="G37" s="44"/>
      <c r="H37" s="44">
        <v>52.404000000000003</v>
      </c>
      <c r="I37" s="44">
        <v>68.127933999999996</v>
      </c>
      <c r="J37" s="44">
        <v>37.016382</v>
      </c>
      <c r="K37" s="44"/>
      <c r="L37" s="44"/>
      <c r="M37" s="46"/>
      <c r="N37" s="46"/>
      <c r="O37" s="293">
        <v>0.494623655913978</v>
      </c>
      <c r="T37" s="45"/>
      <c r="U37" s="45"/>
      <c r="V37" s="45"/>
    </row>
    <row r="38" spans="1:22" x14ac:dyDescent="0.2">
      <c r="A38" s="47">
        <v>42217</v>
      </c>
      <c r="B38" s="44">
        <v>4.4899400000000007</v>
      </c>
      <c r="C38" s="44">
        <f t="shared" si="0"/>
        <v>0.30800000000000072</v>
      </c>
      <c r="D38" s="44">
        <v>4.7979400000000014</v>
      </c>
      <c r="E38" s="44"/>
      <c r="F38" s="44"/>
      <c r="G38" s="44"/>
      <c r="H38" s="44">
        <v>43.474299999999999</v>
      </c>
      <c r="I38" s="44">
        <v>52.105922</v>
      </c>
      <c r="J38" s="44">
        <v>36.366714999999999</v>
      </c>
      <c r="K38" s="44"/>
      <c r="L38" s="44"/>
      <c r="M38" s="46"/>
      <c r="N38" s="46"/>
      <c r="O38" s="293">
        <v>0.45161290322580599</v>
      </c>
      <c r="T38" s="45"/>
      <c r="U38" s="45"/>
      <c r="V38" s="45"/>
    </row>
    <row r="39" spans="1:22" x14ac:dyDescent="0.2">
      <c r="A39" s="47">
        <v>42248</v>
      </c>
      <c r="B39" s="44">
        <v>4.3456600000000005</v>
      </c>
      <c r="C39" s="44">
        <f t="shared" si="0"/>
        <v>0.30400000000000027</v>
      </c>
      <c r="D39" s="44">
        <v>4.6496600000000008</v>
      </c>
      <c r="E39" s="44"/>
      <c r="F39" s="44"/>
      <c r="G39" s="44"/>
      <c r="H39" s="44">
        <v>38.778199999999998</v>
      </c>
      <c r="I39" s="44">
        <v>42.023125</v>
      </c>
      <c r="J39" s="44">
        <v>35.588124999999998</v>
      </c>
      <c r="K39" s="44"/>
      <c r="L39" s="44"/>
      <c r="M39" s="46"/>
      <c r="N39" s="46"/>
      <c r="O39" s="293">
        <v>0.48888888888888798</v>
      </c>
      <c r="T39" s="45"/>
      <c r="U39" s="45"/>
      <c r="V39" s="45"/>
    </row>
    <row r="40" spans="1:22" x14ac:dyDescent="0.2">
      <c r="A40" s="47">
        <v>42278</v>
      </c>
      <c r="B40" s="44">
        <v>4.1516933333333332</v>
      </c>
      <c r="C40" s="44">
        <f t="shared" si="0"/>
        <v>0.30400000000000027</v>
      </c>
      <c r="D40" s="44">
        <v>4.4556933333333335</v>
      </c>
      <c r="E40" s="44"/>
      <c r="F40" s="44"/>
      <c r="G40" s="44"/>
      <c r="H40" s="44">
        <v>37.4788</v>
      </c>
      <c r="I40" s="44">
        <v>40.594374999999999</v>
      </c>
      <c r="J40" s="44">
        <v>34.474642000000003</v>
      </c>
      <c r="K40" s="44"/>
      <c r="L40" s="44"/>
      <c r="M40" s="46"/>
      <c r="N40" s="46"/>
      <c r="O40" s="293">
        <v>0.473118279569892</v>
      </c>
      <c r="T40" s="45"/>
      <c r="U40" s="45"/>
      <c r="V40" s="45"/>
    </row>
    <row r="41" spans="1:22" x14ac:dyDescent="0.2">
      <c r="A41" s="47">
        <v>42309</v>
      </c>
      <c r="B41" s="44">
        <v>4.3784200000000002</v>
      </c>
      <c r="C41" s="44">
        <f t="shared" si="0"/>
        <v>0.42300000000000004</v>
      </c>
      <c r="D41" s="44">
        <v>4.8014200000000002</v>
      </c>
      <c r="E41" s="44"/>
      <c r="F41" s="44"/>
      <c r="G41" s="44"/>
      <c r="H41" s="44">
        <v>41.435200000000002</v>
      </c>
      <c r="I41" s="44">
        <v>45.245475999999996</v>
      </c>
      <c r="J41" s="44">
        <v>37.974687000000003</v>
      </c>
      <c r="K41" s="44"/>
      <c r="L41" s="44"/>
      <c r="M41" s="46"/>
      <c r="N41" s="46"/>
      <c r="O41" s="293">
        <v>0.46666666666666601</v>
      </c>
      <c r="T41" s="45"/>
      <c r="U41" s="45"/>
      <c r="V41" s="45"/>
    </row>
    <row r="42" spans="1:22" x14ac:dyDescent="0.2">
      <c r="A42" s="47">
        <v>42339</v>
      </c>
      <c r="B42" s="44">
        <v>4.6317533333333341</v>
      </c>
      <c r="C42" s="44">
        <f t="shared" si="0"/>
        <v>2.1420000000000003</v>
      </c>
      <c r="D42" s="44">
        <v>6.7737533333333344</v>
      </c>
      <c r="E42" s="44"/>
      <c r="F42" s="44"/>
      <c r="G42" s="44"/>
      <c r="H42" s="44">
        <v>62.043599999999998</v>
      </c>
      <c r="I42" s="44">
        <v>71.645977999999999</v>
      </c>
      <c r="J42" s="44">
        <v>52.645052999999997</v>
      </c>
      <c r="K42" s="44"/>
      <c r="L42" s="44"/>
      <c r="M42" s="46"/>
      <c r="N42" s="46"/>
      <c r="O42" s="293">
        <v>0.494623655913978</v>
      </c>
      <c r="T42" s="45"/>
      <c r="U42" s="45"/>
      <c r="V42" s="45"/>
    </row>
    <row r="43" spans="1:22" x14ac:dyDescent="0.2">
      <c r="A43" s="47">
        <v>42370</v>
      </c>
      <c r="B43" s="44">
        <v>4.8310750000000002</v>
      </c>
      <c r="C43" s="44">
        <f t="shared" si="0"/>
        <v>4.0489999999999995</v>
      </c>
      <c r="D43" s="44">
        <v>8.8800749999999997</v>
      </c>
      <c r="E43" s="44"/>
      <c r="F43" s="44"/>
      <c r="G43" s="44"/>
      <c r="H43" s="44">
        <v>87.840599999999995</v>
      </c>
      <c r="I43" s="44">
        <v>108.636904</v>
      </c>
      <c r="J43" s="44">
        <v>70.713750000000005</v>
      </c>
      <c r="K43" s="44"/>
      <c r="L43" s="44"/>
      <c r="M43" s="46"/>
      <c r="N43" s="46"/>
      <c r="O43" s="293">
        <v>0.45161290322580599</v>
      </c>
      <c r="T43" s="45"/>
      <c r="U43" s="45"/>
      <c r="V43" s="45"/>
    </row>
    <row r="44" spans="1:22" x14ac:dyDescent="0.2">
      <c r="A44" s="47">
        <v>42401</v>
      </c>
      <c r="B44" s="44">
        <v>4.823101666666668</v>
      </c>
      <c r="C44" s="44">
        <f t="shared" si="0"/>
        <v>3.3620000000000001</v>
      </c>
      <c r="D44" s="44">
        <v>8.1851016666666681</v>
      </c>
      <c r="E44" s="44"/>
      <c r="F44" s="44"/>
      <c r="G44" s="44"/>
      <c r="H44" s="44">
        <v>68.084000000000003</v>
      </c>
      <c r="I44" s="44">
        <v>74.097082999999998</v>
      </c>
      <c r="J44" s="44">
        <v>62.470610999999998</v>
      </c>
      <c r="K44" s="44"/>
      <c r="L44" s="44"/>
      <c r="M44" s="46"/>
      <c r="N44" s="46"/>
      <c r="O44" s="293">
        <v>0.48275862068965503</v>
      </c>
      <c r="T44" s="45"/>
      <c r="U44" s="45"/>
      <c r="V44" s="45"/>
    </row>
    <row r="45" spans="1:22" x14ac:dyDescent="0.2">
      <c r="A45" s="47">
        <v>42430</v>
      </c>
      <c r="B45" s="44">
        <v>4.5888866666666672</v>
      </c>
      <c r="C45" s="44">
        <f t="shared" si="0"/>
        <v>0.74699999999999989</v>
      </c>
      <c r="D45" s="44">
        <v>5.3358866666666671</v>
      </c>
      <c r="E45" s="44"/>
      <c r="F45" s="44"/>
      <c r="G45" s="44"/>
      <c r="H45" s="44">
        <v>44.049799999999998</v>
      </c>
      <c r="I45" s="44">
        <v>47.917554000000003</v>
      </c>
      <c r="J45" s="44">
        <v>40.263669999999998</v>
      </c>
      <c r="K45" s="44"/>
      <c r="L45" s="44"/>
      <c r="M45" s="46"/>
      <c r="N45" s="46"/>
      <c r="O45" s="293">
        <v>0.494623655913978</v>
      </c>
      <c r="T45" s="45"/>
      <c r="U45" s="45"/>
      <c r="V45" s="45"/>
    </row>
    <row r="46" spans="1:22" x14ac:dyDescent="0.2">
      <c r="A46" s="47">
        <v>42461</v>
      </c>
      <c r="B46" s="44">
        <v>4.3206983333333326</v>
      </c>
      <c r="C46" s="44">
        <f t="shared" si="0"/>
        <v>0.26399999999999935</v>
      </c>
      <c r="D46" s="44">
        <v>4.584698333333332</v>
      </c>
      <c r="E46" s="44"/>
      <c r="F46" s="44"/>
      <c r="G46" s="44"/>
      <c r="H46" s="44">
        <v>39.279299999999999</v>
      </c>
      <c r="I46" s="44">
        <v>43.351190000000003</v>
      </c>
      <c r="J46" s="44">
        <v>35.718071999999999</v>
      </c>
      <c r="K46" s="44"/>
      <c r="L46" s="44"/>
      <c r="M46" s="46"/>
      <c r="N46" s="46"/>
      <c r="O46" s="293">
        <v>0.46666666666666601</v>
      </c>
      <c r="T46" s="45"/>
      <c r="U46" s="45"/>
      <c r="V46" s="45"/>
    </row>
    <row r="47" spans="1:22" x14ac:dyDescent="0.2">
      <c r="A47" s="47">
        <v>42491</v>
      </c>
      <c r="B47" s="44">
        <v>4.5387066666666671</v>
      </c>
      <c r="C47" s="44">
        <f t="shared" si="0"/>
        <v>0.27499999999999947</v>
      </c>
      <c r="D47" s="44">
        <v>4.8137066666666666</v>
      </c>
      <c r="E47" s="44"/>
      <c r="F47" s="44"/>
      <c r="G47" s="44"/>
      <c r="H47" s="44">
        <v>44.150100000000002</v>
      </c>
      <c r="I47" s="44">
        <v>52.793067999999998</v>
      </c>
      <c r="J47" s="44">
        <v>36.389004999999997</v>
      </c>
      <c r="K47" s="44"/>
      <c r="L47" s="44"/>
      <c r="M47" s="46"/>
      <c r="N47" s="46"/>
      <c r="O47" s="293">
        <v>0.473118279569892</v>
      </c>
      <c r="T47" s="45"/>
      <c r="U47" s="45"/>
      <c r="V47" s="45"/>
    </row>
    <row r="48" spans="1:22" x14ac:dyDescent="0.2">
      <c r="A48" s="47">
        <v>42522</v>
      </c>
      <c r="B48" s="44">
        <v>4.6303299999999998</v>
      </c>
      <c r="C48" s="44">
        <f t="shared" si="0"/>
        <v>0.27799999999999958</v>
      </c>
      <c r="D48" s="44">
        <v>4.9083299999999994</v>
      </c>
      <c r="E48" s="44"/>
      <c r="F48" s="44"/>
      <c r="G48" s="44"/>
      <c r="H48" s="44">
        <v>47.2819</v>
      </c>
      <c r="I48" s="44">
        <v>57.827925999999998</v>
      </c>
      <c r="J48" s="44">
        <v>37.194944999999997</v>
      </c>
      <c r="K48" s="44"/>
      <c r="L48" s="44"/>
      <c r="M48" s="46"/>
      <c r="N48" s="46"/>
      <c r="O48" s="293">
        <v>0.48888888888888798</v>
      </c>
      <c r="T48" s="45"/>
      <c r="U48" s="45"/>
      <c r="V48" s="45"/>
    </row>
    <row r="49" spans="1:22" x14ac:dyDescent="0.2">
      <c r="A49" s="47">
        <v>42552</v>
      </c>
      <c r="B49" s="44">
        <v>4.7688483333333345</v>
      </c>
      <c r="C49" s="44">
        <f t="shared" si="0"/>
        <v>0.28500000000000014</v>
      </c>
      <c r="D49" s="44">
        <v>5.0538483333333346</v>
      </c>
      <c r="E49" s="44"/>
      <c r="F49" s="44"/>
      <c r="G49" s="44"/>
      <c r="H49" s="44">
        <v>55.5274</v>
      </c>
      <c r="I49" s="44">
        <v>75.192261000000002</v>
      </c>
      <c r="J49" s="44">
        <v>39.334116999999999</v>
      </c>
      <c r="K49" s="44"/>
      <c r="L49" s="44"/>
      <c r="M49" s="46"/>
      <c r="N49" s="46"/>
      <c r="O49" s="293">
        <v>0.45161290322580599</v>
      </c>
      <c r="T49" s="45"/>
      <c r="U49" s="45"/>
      <c r="V49" s="45"/>
    </row>
    <row r="50" spans="1:22" x14ac:dyDescent="0.2">
      <c r="A50" s="47">
        <v>42583</v>
      </c>
      <c r="B50" s="44">
        <v>4.7738750000000003</v>
      </c>
      <c r="C50" s="44">
        <f t="shared" si="0"/>
        <v>0.29199999999999982</v>
      </c>
      <c r="D50" s="44">
        <v>5.0658750000000001</v>
      </c>
      <c r="E50" s="44"/>
      <c r="F50" s="44"/>
      <c r="G50" s="44"/>
      <c r="H50" s="44">
        <v>46.594799999999999</v>
      </c>
      <c r="I50" s="44">
        <v>54.769103000000001</v>
      </c>
      <c r="J50" s="44">
        <v>38.592739000000002</v>
      </c>
      <c r="K50" s="44"/>
      <c r="L50" s="44"/>
      <c r="M50" s="46"/>
      <c r="N50" s="46"/>
      <c r="O50" s="293">
        <v>0.494623655913978</v>
      </c>
      <c r="T50" s="45"/>
      <c r="U50" s="45"/>
      <c r="V50" s="45"/>
    </row>
    <row r="51" spans="1:22" x14ac:dyDescent="0.2">
      <c r="A51" s="47">
        <v>42614</v>
      </c>
      <c r="B51" s="44">
        <v>4.5882200000000006</v>
      </c>
      <c r="C51" s="44">
        <f t="shared" si="0"/>
        <v>0.28800000000000026</v>
      </c>
      <c r="D51" s="44">
        <v>4.8762200000000009</v>
      </c>
      <c r="E51" s="44"/>
      <c r="F51" s="44"/>
      <c r="G51" s="44"/>
      <c r="H51" s="44">
        <v>40.780500000000004</v>
      </c>
      <c r="I51" s="44">
        <v>44.052045</v>
      </c>
      <c r="J51" s="44">
        <v>37.564700999999999</v>
      </c>
      <c r="K51" s="44"/>
      <c r="L51" s="44"/>
      <c r="M51" s="46"/>
      <c r="N51" s="46"/>
      <c r="O51" s="293">
        <v>0.48888888888888798</v>
      </c>
      <c r="T51" s="45"/>
      <c r="U51" s="45"/>
      <c r="V51" s="45"/>
    </row>
    <row r="52" spans="1:22" x14ac:dyDescent="0.2">
      <c r="A52" s="47">
        <v>42644</v>
      </c>
      <c r="B52" s="44">
        <v>4.3450283333333335</v>
      </c>
      <c r="C52" s="44">
        <f t="shared" si="0"/>
        <v>0.2889999999999997</v>
      </c>
      <c r="D52" s="44">
        <v>4.6340283333333332</v>
      </c>
      <c r="E52" s="44"/>
      <c r="F52" s="44"/>
      <c r="G52" s="44"/>
      <c r="H52" s="44">
        <v>39.203200000000002</v>
      </c>
      <c r="I52" s="44">
        <v>42.436934000000001</v>
      </c>
      <c r="J52" s="44">
        <v>36.187866999999997</v>
      </c>
      <c r="K52" s="44"/>
      <c r="L52" s="44"/>
      <c r="M52" s="46"/>
      <c r="N52" s="46"/>
      <c r="O52" s="293">
        <v>0.45161290322580599</v>
      </c>
      <c r="T52" s="45"/>
      <c r="U52" s="45"/>
      <c r="V52" s="45"/>
    </row>
    <row r="53" spans="1:22" x14ac:dyDescent="0.2">
      <c r="A53" s="47">
        <v>42675</v>
      </c>
      <c r="B53" s="44">
        <v>4.6060466666666677</v>
      </c>
      <c r="C53" s="44">
        <f t="shared" si="0"/>
        <v>0.40299999999999958</v>
      </c>
      <c r="D53" s="44">
        <v>5.0090466666666673</v>
      </c>
      <c r="E53" s="44"/>
      <c r="F53" s="44"/>
      <c r="G53" s="44"/>
      <c r="H53" s="44">
        <v>44.438200000000002</v>
      </c>
      <c r="I53" s="44">
        <v>49.034545000000001</v>
      </c>
      <c r="J53" s="44">
        <v>39.998069999999998</v>
      </c>
      <c r="K53" s="44"/>
      <c r="L53" s="44"/>
      <c r="M53" s="46"/>
      <c r="N53" s="46"/>
      <c r="O53" s="293">
        <v>0.48888888888888798</v>
      </c>
      <c r="T53" s="45"/>
      <c r="U53" s="45"/>
      <c r="V53" s="45"/>
    </row>
    <row r="54" spans="1:22" x14ac:dyDescent="0.2">
      <c r="A54" s="47">
        <v>42705</v>
      </c>
      <c r="B54" s="44">
        <v>4.8813916666666675</v>
      </c>
      <c r="C54" s="44">
        <f t="shared" si="0"/>
        <v>2.0379999999999994</v>
      </c>
      <c r="D54" s="44">
        <v>6.9193916666666668</v>
      </c>
      <c r="E54" s="44"/>
      <c r="F54" s="44"/>
      <c r="G54" s="44"/>
      <c r="H54" s="44">
        <v>63.615000000000002</v>
      </c>
      <c r="I54" s="44">
        <v>73.939261000000002</v>
      </c>
      <c r="J54" s="44">
        <v>54.344794999999998</v>
      </c>
      <c r="K54" s="44"/>
      <c r="L54" s="44"/>
      <c r="M54" s="46"/>
      <c r="N54" s="46"/>
      <c r="O54" s="293">
        <v>0.473118279569892</v>
      </c>
      <c r="T54" s="45"/>
      <c r="U54" s="45"/>
      <c r="V54" s="45"/>
    </row>
    <row r="55" spans="1:22" x14ac:dyDescent="0.2">
      <c r="A55" s="54">
        <v>42736</v>
      </c>
      <c r="B55" s="44">
        <v>5.0645793333333344</v>
      </c>
      <c r="C55" s="44">
        <f t="shared" si="0"/>
        <v>3.8530000000000015</v>
      </c>
      <c r="D55" s="44">
        <v>8.917579333333336</v>
      </c>
      <c r="E55" s="44"/>
      <c r="F55" s="44"/>
      <c r="G55" s="44"/>
      <c r="H55" s="44">
        <v>87.852400000000003</v>
      </c>
      <c r="I55" s="44">
        <v>106.917812</v>
      </c>
      <c r="J55" s="44">
        <v>70.732551000000001</v>
      </c>
      <c r="K55" s="44"/>
      <c r="L55" s="44"/>
      <c r="M55" s="46"/>
      <c r="N55" s="46"/>
      <c r="O55" s="293">
        <v>0.473118279569892</v>
      </c>
      <c r="T55" s="45"/>
      <c r="U55" s="45"/>
      <c r="V55" s="45"/>
    </row>
    <row r="56" spans="1:22" x14ac:dyDescent="0.2">
      <c r="A56" s="54">
        <v>42767</v>
      </c>
      <c r="B56" s="44">
        <v>5.0603326666666675</v>
      </c>
      <c r="C56" s="44">
        <f t="shared" si="0"/>
        <v>3.1989999999999998</v>
      </c>
      <c r="D56" s="44">
        <v>8.2593326666666673</v>
      </c>
      <c r="E56" s="44"/>
      <c r="F56" s="44"/>
      <c r="G56" s="44"/>
      <c r="H56" s="44">
        <v>70.225899999999996</v>
      </c>
      <c r="I56" s="44">
        <v>77.221249999999998</v>
      </c>
      <c r="J56" s="44">
        <v>63.866987999999999</v>
      </c>
      <c r="K56" s="44"/>
      <c r="L56" s="44"/>
      <c r="M56" s="46"/>
      <c r="N56" s="46"/>
      <c r="O56" s="293">
        <v>0.476190476190476</v>
      </c>
      <c r="T56" s="45"/>
      <c r="U56" s="45"/>
      <c r="V56" s="45"/>
    </row>
    <row r="57" spans="1:22" x14ac:dyDescent="0.2">
      <c r="A57" s="54">
        <v>42795</v>
      </c>
      <c r="B57" s="44">
        <v>4.7910613333333343</v>
      </c>
      <c r="C57" s="44">
        <f t="shared" si="0"/>
        <v>0.7110000000000003</v>
      </c>
      <c r="D57" s="44">
        <v>5.5020613333333346</v>
      </c>
      <c r="E57" s="44"/>
      <c r="F57" s="44"/>
      <c r="G57" s="44"/>
      <c r="H57" s="44">
        <v>46.668199999999999</v>
      </c>
      <c r="I57" s="44">
        <v>51.091113999999997</v>
      </c>
      <c r="J57" s="44">
        <v>42.340291999999998</v>
      </c>
      <c r="K57" s="44"/>
      <c r="L57" s="44"/>
      <c r="M57" s="46"/>
      <c r="N57" s="46"/>
      <c r="O57" s="293">
        <v>0.494623655913978</v>
      </c>
      <c r="T57" s="45"/>
      <c r="U57" s="45"/>
      <c r="V57" s="45"/>
    </row>
    <row r="58" spans="1:22" x14ac:dyDescent="0.2">
      <c r="A58" s="54">
        <v>42826</v>
      </c>
      <c r="B58" s="44">
        <v>4.5032633333333338</v>
      </c>
      <c r="C58" s="44">
        <f t="shared" si="0"/>
        <v>0.25</v>
      </c>
      <c r="D58" s="44">
        <v>4.7532633333333338</v>
      </c>
      <c r="E58" s="44"/>
      <c r="F58" s="44"/>
      <c r="G58" s="44"/>
      <c r="H58" s="44">
        <v>41.355499999999999</v>
      </c>
      <c r="I58" s="44">
        <v>46.184437000000003</v>
      </c>
      <c r="J58" s="44">
        <v>37.492750000000001</v>
      </c>
      <c r="K58" s="44"/>
      <c r="L58" s="44"/>
      <c r="M58" s="46"/>
      <c r="N58" s="46"/>
      <c r="O58" s="293">
        <v>0.44444444444444398</v>
      </c>
      <c r="T58" s="45"/>
      <c r="U58" s="45"/>
      <c r="V58" s="45"/>
    </row>
    <row r="59" spans="1:22" x14ac:dyDescent="0.2">
      <c r="A59" s="54">
        <v>42856</v>
      </c>
      <c r="B59" s="44">
        <v>4.7641346666666671</v>
      </c>
      <c r="C59" s="44">
        <f t="shared" si="0"/>
        <v>0.26099999999999923</v>
      </c>
      <c r="D59" s="44">
        <v>5.0251346666666663</v>
      </c>
      <c r="E59" s="44"/>
      <c r="F59" s="44"/>
      <c r="G59" s="44"/>
      <c r="H59" s="44">
        <v>41.569200000000002</v>
      </c>
      <c r="I59" s="44">
        <v>45.478695000000002</v>
      </c>
      <c r="J59" s="44">
        <v>37.741622</v>
      </c>
      <c r="K59" s="44"/>
      <c r="L59" s="44"/>
      <c r="M59" s="46"/>
      <c r="N59" s="46"/>
      <c r="O59" s="293">
        <v>0.494623655913978</v>
      </c>
      <c r="T59" s="45"/>
      <c r="U59" s="45"/>
      <c r="V59" s="45"/>
    </row>
    <row r="60" spans="1:22" x14ac:dyDescent="0.2">
      <c r="A60" s="54">
        <v>42887</v>
      </c>
      <c r="B60" s="44">
        <v>4.870984533333333</v>
      </c>
      <c r="C60" s="44">
        <f t="shared" si="0"/>
        <v>0.26400000000000023</v>
      </c>
      <c r="D60" s="44">
        <v>5.1349845333333333</v>
      </c>
      <c r="E60" s="44"/>
      <c r="F60" s="44"/>
      <c r="G60" s="44"/>
      <c r="H60" s="44">
        <v>45.817599999999999</v>
      </c>
      <c r="I60" s="44">
        <v>54.364885999999998</v>
      </c>
      <c r="J60" s="44">
        <v>37.643613999999999</v>
      </c>
      <c r="K60" s="44"/>
      <c r="L60" s="44"/>
      <c r="M60" s="46"/>
      <c r="N60" s="46"/>
      <c r="O60" s="293">
        <v>0.48888888888888798</v>
      </c>
      <c r="T60" s="45"/>
      <c r="U60" s="45"/>
      <c r="V60" s="45"/>
    </row>
    <row r="61" spans="1:22" x14ac:dyDescent="0.2">
      <c r="A61" s="54">
        <v>42917</v>
      </c>
      <c r="B61" s="44">
        <v>5.0316326666666678</v>
      </c>
      <c r="C61" s="44">
        <f t="shared" si="0"/>
        <v>0.27099999999999991</v>
      </c>
      <c r="D61" s="44">
        <v>5.3026326666666677</v>
      </c>
      <c r="E61" s="44"/>
      <c r="F61" s="44"/>
      <c r="G61" s="44"/>
      <c r="H61" s="44">
        <v>54.111800000000002</v>
      </c>
      <c r="I61" s="44">
        <v>69.848868999999993</v>
      </c>
      <c r="J61" s="44">
        <v>41.152400999999998</v>
      </c>
      <c r="K61" s="44"/>
      <c r="L61" s="44"/>
      <c r="M61" s="46"/>
      <c r="N61" s="46"/>
      <c r="O61" s="293">
        <v>0.45161290322580599</v>
      </c>
      <c r="T61" s="45"/>
      <c r="U61" s="45"/>
      <c r="V61" s="45"/>
    </row>
    <row r="62" spans="1:22" x14ac:dyDescent="0.2">
      <c r="A62" s="54">
        <v>42948</v>
      </c>
      <c r="B62" s="44">
        <v>5.0344326666666683</v>
      </c>
      <c r="C62" s="44">
        <f t="shared" si="0"/>
        <v>0.27700000000000014</v>
      </c>
      <c r="D62" s="44">
        <v>5.3114326666666685</v>
      </c>
      <c r="E62" s="44"/>
      <c r="F62" s="44"/>
      <c r="G62" s="44"/>
      <c r="H62" s="44">
        <v>49.990699999999997</v>
      </c>
      <c r="I62" s="44">
        <v>59.460054</v>
      </c>
      <c r="J62" s="44">
        <v>40.721860999999997</v>
      </c>
      <c r="K62" s="44"/>
      <c r="L62" s="44"/>
      <c r="M62" s="46"/>
      <c r="N62" s="46"/>
      <c r="O62" s="293">
        <v>0.494623655913978</v>
      </c>
      <c r="T62" s="45"/>
      <c r="U62" s="45"/>
      <c r="V62" s="45"/>
    </row>
    <row r="63" spans="1:22" x14ac:dyDescent="0.2">
      <c r="A63" s="54">
        <v>42979</v>
      </c>
      <c r="B63" s="44">
        <v>4.8048000000000011</v>
      </c>
      <c r="C63" s="44">
        <f t="shared" si="0"/>
        <v>0.27400000000000002</v>
      </c>
      <c r="D63" s="44">
        <v>5.0788000000000011</v>
      </c>
      <c r="E63" s="44"/>
      <c r="F63" s="44"/>
      <c r="G63" s="44"/>
      <c r="H63" s="44">
        <v>42.891800000000003</v>
      </c>
      <c r="I63" s="44">
        <v>46.233809000000001</v>
      </c>
      <c r="J63" s="44">
        <v>39.716847999999999</v>
      </c>
      <c r="K63" s="44"/>
      <c r="L63" s="44"/>
      <c r="M63" s="46"/>
      <c r="N63" s="46"/>
      <c r="O63" s="293">
        <v>0.46666666666666601</v>
      </c>
      <c r="T63" s="45"/>
      <c r="U63" s="45"/>
      <c r="V63" s="45"/>
    </row>
    <row r="64" spans="1:22" x14ac:dyDescent="0.2">
      <c r="A64" s="54">
        <v>43009</v>
      </c>
      <c r="B64" s="44">
        <v>4.5045000000000002</v>
      </c>
      <c r="C64" s="44">
        <f t="shared" si="0"/>
        <v>0.27400000000000002</v>
      </c>
      <c r="D64" s="44">
        <v>4.7785000000000002</v>
      </c>
      <c r="E64" s="44"/>
      <c r="F64" s="44"/>
      <c r="G64" s="44"/>
      <c r="H64" s="44">
        <v>40.432499999999997</v>
      </c>
      <c r="I64" s="44">
        <v>43.835852000000003</v>
      </c>
      <c r="J64" s="44">
        <v>37.170662999999998</v>
      </c>
      <c r="K64" s="44"/>
      <c r="L64" s="44"/>
      <c r="M64" s="46"/>
      <c r="N64" s="46"/>
      <c r="O64" s="293">
        <v>0.473118279569892</v>
      </c>
      <c r="T64" s="45"/>
      <c r="U64" s="45"/>
      <c r="V64" s="45"/>
    </row>
    <row r="65" spans="1:22" x14ac:dyDescent="0.2">
      <c r="A65" s="54">
        <v>43040</v>
      </c>
      <c r="B65" s="44">
        <v>4.8048000000000011</v>
      </c>
      <c r="C65" s="44">
        <f t="shared" si="0"/>
        <v>0.38300000000000001</v>
      </c>
      <c r="D65" s="44">
        <v>5.1878000000000011</v>
      </c>
      <c r="E65" s="44"/>
      <c r="F65" s="44"/>
      <c r="G65" s="44"/>
      <c r="H65" s="44">
        <v>44.486400000000003</v>
      </c>
      <c r="I65" s="44">
        <v>47.768152999999998</v>
      </c>
      <c r="J65" s="44">
        <v>41.306739</v>
      </c>
      <c r="K65" s="44"/>
      <c r="L65" s="44"/>
      <c r="M65" s="46"/>
      <c r="N65" s="46"/>
      <c r="O65" s="293">
        <v>0.48888888888888798</v>
      </c>
      <c r="T65" s="45"/>
      <c r="U65" s="45"/>
      <c r="V65" s="45"/>
    </row>
    <row r="66" spans="1:22" x14ac:dyDescent="0.2">
      <c r="A66" s="54">
        <v>43070</v>
      </c>
      <c r="B66" s="44">
        <v>5.1051000000000011</v>
      </c>
      <c r="C66" s="44">
        <f t="shared" si="0"/>
        <v>1.9390000000000001</v>
      </c>
      <c r="D66" s="44">
        <v>7.0441000000000011</v>
      </c>
      <c r="E66" s="44"/>
      <c r="F66" s="44"/>
      <c r="G66" s="44"/>
      <c r="H66" s="44">
        <v>63.983499999999999</v>
      </c>
      <c r="I66" s="44">
        <v>74.181904000000003</v>
      </c>
      <c r="J66" s="44">
        <v>55.583503999999998</v>
      </c>
      <c r="K66" s="44"/>
      <c r="L66" s="44"/>
      <c r="M66" s="46"/>
      <c r="N66" s="46"/>
      <c r="O66" s="293">
        <v>0.45161290322580599</v>
      </c>
      <c r="T66" s="45"/>
      <c r="U66" s="45"/>
      <c r="V66" s="45"/>
    </row>
    <row r="67" spans="1:22" x14ac:dyDescent="0.2">
      <c r="A67" s="54">
        <v>43101</v>
      </c>
      <c r="B67" s="44">
        <v>5.2582530000000016</v>
      </c>
      <c r="C67" s="44">
        <f t="shared" si="0"/>
        <v>3.6660000000000004</v>
      </c>
      <c r="D67" s="44">
        <v>8.924253000000002</v>
      </c>
      <c r="E67" s="44"/>
      <c r="F67" s="44"/>
      <c r="G67" s="44"/>
      <c r="H67" s="44">
        <v>87.861099999999993</v>
      </c>
      <c r="I67" s="44">
        <v>104.652717</v>
      </c>
      <c r="J67" s="44">
        <v>71.427233999999999</v>
      </c>
      <c r="K67" s="44"/>
      <c r="L67" s="44"/>
      <c r="M67" s="46"/>
      <c r="N67" s="46"/>
      <c r="O67" s="293">
        <v>0.494623655913978</v>
      </c>
      <c r="T67" s="45"/>
      <c r="U67" s="45"/>
      <c r="V67" s="45"/>
    </row>
    <row r="68" spans="1:22" x14ac:dyDescent="0.2">
      <c r="A68" s="54">
        <v>43132</v>
      </c>
      <c r="B68" s="44">
        <v>5.2582530000000016</v>
      </c>
      <c r="C68" s="44">
        <f t="shared" si="0"/>
        <v>3.0449999999999999</v>
      </c>
      <c r="D68" s="44">
        <v>8.3032530000000015</v>
      </c>
      <c r="E68" s="44"/>
      <c r="F68" s="44"/>
      <c r="G68" s="44"/>
      <c r="H68" s="44">
        <v>69.929299999999998</v>
      </c>
      <c r="I68" s="44">
        <v>76.173062000000002</v>
      </c>
      <c r="J68" s="44">
        <v>64.252555999999998</v>
      </c>
      <c r="K68" s="44"/>
      <c r="L68" s="44"/>
      <c r="M68" s="46"/>
      <c r="N68" s="46"/>
      <c r="O68" s="293">
        <v>0.476190476190476</v>
      </c>
      <c r="T68" s="45"/>
      <c r="U68" s="45"/>
      <c r="V68" s="45"/>
    </row>
    <row r="69" spans="1:22" x14ac:dyDescent="0.2">
      <c r="A69" s="54">
        <v>43160</v>
      </c>
      <c r="B69" s="44">
        <v>4.9489440000000009</v>
      </c>
      <c r="C69" s="44">
        <f t="shared" ref="C69:C126" si="1">D69-B69</f>
        <v>0.6769999999999996</v>
      </c>
      <c r="D69" s="44">
        <v>5.6259440000000005</v>
      </c>
      <c r="E69" s="44"/>
      <c r="F69" s="44"/>
      <c r="G69" s="44"/>
      <c r="H69" s="44">
        <v>47.014499999999998</v>
      </c>
      <c r="I69" s="44">
        <v>51.446021999999999</v>
      </c>
      <c r="J69" s="44">
        <v>43.035969000000001</v>
      </c>
      <c r="K69" s="44"/>
      <c r="L69" s="44"/>
      <c r="M69" s="46"/>
      <c r="N69" s="46"/>
      <c r="O69" s="293">
        <v>0.473118279569892</v>
      </c>
      <c r="T69" s="45"/>
      <c r="U69" s="45"/>
      <c r="V69" s="45"/>
    </row>
    <row r="70" spans="1:22" x14ac:dyDescent="0.2">
      <c r="A70" s="54">
        <v>43191</v>
      </c>
      <c r="B70" s="44">
        <v>4.6396350000000002</v>
      </c>
      <c r="C70" s="44">
        <f t="shared" si="1"/>
        <v>0.2370000000000001</v>
      </c>
      <c r="D70" s="44">
        <v>4.8766350000000003</v>
      </c>
      <c r="E70" s="44"/>
      <c r="F70" s="44"/>
      <c r="G70" s="44"/>
      <c r="H70" s="44">
        <v>42.266500000000001</v>
      </c>
      <c r="I70" s="44">
        <v>46.964761000000003</v>
      </c>
      <c r="J70" s="44">
        <v>38.153202999999998</v>
      </c>
      <c r="K70" s="44"/>
      <c r="L70" s="44"/>
      <c r="M70" s="46"/>
      <c r="N70" s="46"/>
      <c r="O70" s="293">
        <v>0.46666666666666601</v>
      </c>
      <c r="T70" s="45"/>
      <c r="U70" s="45"/>
      <c r="V70" s="45"/>
    </row>
    <row r="71" spans="1:22" x14ac:dyDescent="0.2">
      <c r="A71" s="54">
        <v>43221</v>
      </c>
      <c r="B71" s="44">
        <v>4.9489440000000009</v>
      </c>
      <c r="C71" s="44">
        <f t="shared" si="1"/>
        <v>0.24800000000000022</v>
      </c>
      <c r="D71" s="44">
        <v>5.1969440000000011</v>
      </c>
      <c r="E71" s="44"/>
      <c r="F71" s="44"/>
      <c r="G71" s="44"/>
      <c r="H71" s="44">
        <v>43.220500000000001</v>
      </c>
      <c r="I71" s="44">
        <v>47.599564999999998</v>
      </c>
      <c r="J71" s="44">
        <v>38.935558</v>
      </c>
      <c r="K71" s="44"/>
      <c r="L71" s="44"/>
      <c r="M71" s="46"/>
      <c r="N71" s="46"/>
      <c r="O71" s="293">
        <v>0.494623655913978</v>
      </c>
      <c r="T71" s="45"/>
      <c r="U71" s="45"/>
      <c r="V71" s="45"/>
    </row>
    <row r="72" spans="1:22" x14ac:dyDescent="0.2">
      <c r="A72" s="54">
        <v>43252</v>
      </c>
      <c r="B72" s="44">
        <v>5.0726675999999999</v>
      </c>
      <c r="C72" s="44">
        <f t="shared" si="1"/>
        <v>0.25</v>
      </c>
      <c r="D72" s="44">
        <v>5.3226675999999999</v>
      </c>
      <c r="E72" s="44"/>
      <c r="F72" s="44"/>
      <c r="G72" s="44"/>
      <c r="H72" s="44">
        <v>46.845700000000001</v>
      </c>
      <c r="I72" s="44">
        <v>55.876427999999997</v>
      </c>
      <c r="J72" s="44">
        <v>38.944270000000003</v>
      </c>
      <c r="K72" s="44"/>
      <c r="L72" s="44"/>
      <c r="M72" s="46"/>
      <c r="N72" s="46"/>
      <c r="O72" s="293">
        <v>0.46666666666666601</v>
      </c>
      <c r="T72" s="45"/>
      <c r="U72" s="45"/>
      <c r="V72" s="45"/>
    </row>
    <row r="73" spans="1:22" x14ac:dyDescent="0.2">
      <c r="A73" s="54">
        <v>43282</v>
      </c>
      <c r="B73" s="44">
        <v>5.2582530000000016</v>
      </c>
      <c r="C73" s="44">
        <f t="shared" si="1"/>
        <v>0.25699999999999967</v>
      </c>
      <c r="D73" s="44">
        <v>5.5152530000000013</v>
      </c>
      <c r="E73" s="44"/>
      <c r="F73" s="44"/>
      <c r="G73" s="44"/>
      <c r="H73" s="44">
        <v>56.276899999999998</v>
      </c>
      <c r="I73" s="44">
        <v>71.312271999999993</v>
      </c>
      <c r="J73" s="44">
        <v>42.775841</v>
      </c>
      <c r="K73" s="44"/>
      <c r="L73" s="44"/>
      <c r="M73" s="46"/>
      <c r="N73" s="46"/>
      <c r="O73" s="293">
        <v>0.473118279569892</v>
      </c>
      <c r="T73" s="45"/>
      <c r="U73" s="45"/>
      <c r="V73" s="45"/>
    </row>
    <row r="74" spans="1:22" x14ac:dyDescent="0.2">
      <c r="A74" s="54">
        <v>43313</v>
      </c>
      <c r="B74" s="44">
        <v>5.2582530000000016</v>
      </c>
      <c r="C74" s="44">
        <f t="shared" si="1"/>
        <v>0.2629999999999999</v>
      </c>
      <c r="D74" s="44">
        <v>5.5212530000000015</v>
      </c>
      <c r="E74" s="44"/>
      <c r="F74" s="44"/>
      <c r="G74" s="44"/>
      <c r="H74" s="44">
        <v>50.405000000000001</v>
      </c>
      <c r="I74" s="44">
        <v>58.819890999999998</v>
      </c>
      <c r="J74" s="44">
        <v>42.170718000000001</v>
      </c>
      <c r="K74" s="44"/>
      <c r="L74" s="44"/>
      <c r="M74" s="46"/>
      <c r="N74" s="46"/>
      <c r="O74" s="293">
        <v>0.494623655913978</v>
      </c>
      <c r="T74" s="45"/>
      <c r="U74" s="45"/>
      <c r="V74" s="45"/>
    </row>
    <row r="75" spans="1:22" x14ac:dyDescent="0.2">
      <c r="A75" s="54">
        <v>43344</v>
      </c>
      <c r="B75" s="44">
        <v>4.9489440000000009</v>
      </c>
      <c r="C75" s="44">
        <f t="shared" si="1"/>
        <v>0.25999999999999979</v>
      </c>
      <c r="D75" s="44">
        <v>5.2089440000000007</v>
      </c>
      <c r="E75" s="44"/>
      <c r="F75" s="44"/>
      <c r="G75" s="44"/>
      <c r="H75" s="44">
        <v>43.727899999999998</v>
      </c>
      <c r="I75" s="44">
        <v>47.334468000000001</v>
      </c>
      <c r="J75" s="44">
        <v>40.444749999999999</v>
      </c>
      <c r="K75" s="44"/>
      <c r="L75" s="44"/>
      <c r="M75" s="46"/>
      <c r="N75" s="46"/>
      <c r="O75" s="293">
        <v>0.44444444444444398</v>
      </c>
      <c r="T75" s="45"/>
      <c r="U75" s="45"/>
      <c r="V75" s="45"/>
    </row>
    <row r="76" spans="1:22" x14ac:dyDescent="0.2">
      <c r="A76" s="54">
        <v>43374</v>
      </c>
      <c r="B76" s="44">
        <v>4.6396350000000002</v>
      </c>
      <c r="C76" s="44">
        <f t="shared" si="1"/>
        <v>0.25999999999999979</v>
      </c>
      <c r="D76" s="44">
        <v>4.899635</v>
      </c>
      <c r="E76" s="44"/>
      <c r="F76" s="44"/>
      <c r="G76" s="44"/>
      <c r="H76" s="44">
        <v>41.545099999999998</v>
      </c>
      <c r="I76" s="44">
        <v>44.955053999999997</v>
      </c>
      <c r="J76" s="44">
        <v>38.162526</v>
      </c>
      <c r="K76" s="44"/>
      <c r="L76" s="44"/>
      <c r="M76" s="46"/>
      <c r="N76" s="46"/>
      <c r="O76" s="293">
        <v>0.494623655913978</v>
      </c>
      <c r="T76" s="45"/>
      <c r="U76" s="45"/>
      <c r="V76" s="45"/>
    </row>
    <row r="77" spans="1:22" x14ac:dyDescent="0.2">
      <c r="A77" s="54">
        <v>43405</v>
      </c>
      <c r="B77" s="44">
        <v>4.9489440000000009</v>
      </c>
      <c r="C77" s="44">
        <f t="shared" si="1"/>
        <v>0.36500000000000021</v>
      </c>
      <c r="D77" s="44">
        <v>5.3139440000000011</v>
      </c>
      <c r="E77" s="44"/>
      <c r="F77" s="44"/>
      <c r="G77" s="44"/>
      <c r="H77" s="44">
        <v>45.5944</v>
      </c>
      <c r="I77" s="44">
        <v>48.925027999999998</v>
      </c>
      <c r="J77" s="44">
        <v>42.363585999999998</v>
      </c>
      <c r="K77" s="44"/>
      <c r="L77" s="44"/>
      <c r="M77" s="46"/>
      <c r="N77" s="46"/>
      <c r="O77" s="293">
        <v>0.48888888888888798</v>
      </c>
      <c r="T77" s="45"/>
      <c r="U77" s="45"/>
      <c r="V77" s="45"/>
    </row>
    <row r="78" spans="1:22" x14ac:dyDescent="0.2">
      <c r="A78" s="54">
        <v>43435</v>
      </c>
      <c r="B78" s="44">
        <v>5.2582530000000016</v>
      </c>
      <c r="C78" s="44">
        <f t="shared" si="1"/>
        <v>1.8460000000000001</v>
      </c>
      <c r="D78" s="44">
        <v>7.1042530000000017</v>
      </c>
      <c r="E78" s="44"/>
      <c r="F78" s="44"/>
      <c r="G78" s="44"/>
      <c r="H78" s="44">
        <v>64.230699999999999</v>
      </c>
      <c r="I78" s="44">
        <v>74.040565000000001</v>
      </c>
      <c r="J78" s="44">
        <v>56.152009</v>
      </c>
      <c r="K78" s="44"/>
      <c r="L78" s="44"/>
      <c r="M78" s="46"/>
      <c r="N78" s="46"/>
      <c r="O78" s="293">
        <v>0.45161290322580599</v>
      </c>
      <c r="T78" s="45"/>
      <c r="U78" s="45"/>
      <c r="V78" s="45"/>
    </row>
    <row r="79" spans="1:22" x14ac:dyDescent="0.2">
      <c r="A79" s="54">
        <v>43466</v>
      </c>
      <c r="B79" s="44">
        <v>5.4160005900000021</v>
      </c>
      <c r="C79" s="44">
        <f t="shared" si="1"/>
        <v>3.4889999999999981</v>
      </c>
      <c r="D79" s="44">
        <v>8.9050005900000002</v>
      </c>
      <c r="E79" s="44"/>
      <c r="F79" s="44"/>
      <c r="G79" s="44"/>
      <c r="H79" s="44">
        <v>88.794700000000006</v>
      </c>
      <c r="I79" s="44">
        <v>106.17793399999999</v>
      </c>
      <c r="J79" s="44">
        <v>71.781728000000001</v>
      </c>
      <c r="K79" s="44"/>
      <c r="L79" s="44"/>
      <c r="M79" s="46"/>
      <c r="N79" s="46"/>
      <c r="T79" s="45"/>
      <c r="U79" s="45"/>
      <c r="V79" s="45"/>
    </row>
    <row r="80" spans="1:22" x14ac:dyDescent="0.2">
      <c r="A80" s="54">
        <v>43497</v>
      </c>
      <c r="B80" s="44">
        <v>5.4160005900000021</v>
      </c>
      <c r="C80" s="44">
        <f t="shared" si="1"/>
        <v>2.8980000000000006</v>
      </c>
      <c r="D80" s="44">
        <v>8.3140005900000027</v>
      </c>
      <c r="E80" s="44"/>
      <c r="F80" s="44"/>
      <c r="G80" s="44"/>
      <c r="H80" s="44">
        <v>70.233099999999993</v>
      </c>
      <c r="I80" s="44">
        <v>76.479405999999997</v>
      </c>
      <c r="J80" s="44">
        <v>64.554687000000001</v>
      </c>
      <c r="K80" s="44"/>
      <c r="L80" s="44"/>
      <c r="M80" s="46"/>
      <c r="N80" s="46"/>
      <c r="T80" s="45"/>
      <c r="U80" s="45"/>
      <c r="V80" s="45"/>
    </row>
    <row r="81" spans="1:22" x14ac:dyDescent="0.2">
      <c r="A81" s="54">
        <v>43525</v>
      </c>
      <c r="B81" s="44">
        <v>5.097412320000001</v>
      </c>
      <c r="C81" s="44">
        <f t="shared" si="1"/>
        <v>0.64400000000000013</v>
      </c>
      <c r="D81" s="44">
        <v>5.7414123200000011</v>
      </c>
      <c r="E81" s="44"/>
      <c r="F81" s="44"/>
      <c r="G81" s="44"/>
      <c r="H81" s="44">
        <v>48.0398</v>
      </c>
      <c r="I81" s="44">
        <v>52.975862999999997</v>
      </c>
      <c r="J81" s="44">
        <v>43.973405999999997</v>
      </c>
      <c r="K81" s="44"/>
      <c r="L81" s="44"/>
      <c r="M81" s="46"/>
      <c r="N81" s="46"/>
      <c r="T81" s="45"/>
      <c r="U81" s="45"/>
      <c r="V81" s="45"/>
    </row>
    <row r="82" spans="1:22" x14ac:dyDescent="0.2">
      <c r="A82" s="54">
        <v>43556</v>
      </c>
      <c r="B82" s="44">
        <v>4.7788240499999999</v>
      </c>
      <c r="C82" s="44">
        <f t="shared" si="1"/>
        <v>0.22500000000000053</v>
      </c>
      <c r="D82" s="44">
        <v>5.0038240500000004</v>
      </c>
      <c r="E82" s="44"/>
      <c r="F82" s="44"/>
      <c r="G82" s="44"/>
      <c r="H82" s="44">
        <v>43.809399999999997</v>
      </c>
      <c r="I82" s="44">
        <v>48.701534000000002</v>
      </c>
      <c r="J82" s="44">
        <v>39.132092</v>
      </c>
      <c r="K82" s="44"/>
      <c r="L82" s="44"/>
      <c r="M82" s="46"/>
      <c r="N82" s="46"/>
      <c r="T82" s="45"/>
      <c r="U82" s="45"/>
      <c r="V82" s="45"/>
    </row>
    <row r="83" spans="1:22" x14ac:dyDescent="0.2">
      <c r="A83" s="54">
        <v>43586</v>
      </c>
      <c r="B83" s="44">
        <v>5.097412320000001</v>
      </c>
      <c r="C83" s="44">
        <f t="shared" si="1"/>
        <v>0.23499999999999943</v>
      </c>
      <c r="D83" s="44">
        <v>5.3324123200000004</v>
      </c>
      <c r="E83" s="44"/>
      <c r="F83" s="44"/>
      <c r="G83" s="44"/>
      <c r="H83" s="44">
        <v>44.8309</v>
      </c>
      <c r="I83" s="44">
        <v>49.746059000000002</v>
      </c>
      <c r="J83" s="44">
        <v>40.021276</v>
      </c>
      <c r="K83" s="44"/>
      <c r="L83" s="44"/>
      <c r="M83" s="46"/>
      <c r="N83" s="46"/>
      <c r="T83" s="45"/>
      <c r="U83" s="45"/>
      <c r="V83" s="45"/>
    </row>
    <row r="84" spans="1:22" x14ac:dyDescent="0.2">
      <c r="A84" s="54">
        <v>43617</v>
      </c>
      <c r="B84" s="44">
        <v>5.224847628</v>
      </c>
      <c r="C84" s="44">
        <f t="shared" si="1"/>
        <v>0.23799999999999955</v>
      </c>
      <c r="D84" s="44">
        <v>5.4628476279999996</v>
      </c>
      <c r="E84" s="44"/>
      <c r="F84" s="44"/>
      <c r="G84" s="44"/>
      <c r="H84" s="44">
        <v>48.207099999999997</v>
      </c>
      <c r="I84" s="44">
        <v>58.077717999999997</v>
      </c>
      <c r="J84" s="44">
        <v>40.310474999999997</v>
      </c>
      <c r="K84" s="44"/>
      <c r="L84" s="44"/>
      <c r="M84" s="46"/>
      <c r="N84" s="46"/>
      <c r="T84" s="45"/>
      <c r="U84" s="45"/>
      <c r="V84" s="45"/>
    </row>
    <row r="85" spans="1:22" x14ac:dyDescent="0.2">
      <c r="A85" s="54">
        <v>43647</v>
      </c>
      <c r="B85" s="44">
        <v>5.4160005900000021</v>
      </c>
      <c r="C85" s="44">
        <f t="shared" si="1"/>
        <v>0.24399999999999977</v>
      </c>
      <c r="D85" s="44">
        <v>5.6600005900000019</v>
      </c>
      <c r="E85" s="44"/>
      <c r="F85" s="44"/>
      <c r="G85" s="44"/>
      <c r="H85" s="44">
        <v>59.312800000000003</v>
      </c>
      <c r="I85" s="44">
        <v>74.802037999999996</v>
      </c>
      <c r="J85" s="44">
        <v>44.154573999999997</v>
      </c>
      <c r="K85" s="44"/>
      <c r="L85" s="44"/>
      <c r="M85" s="46"/>
      <c r="N85" s="46"/>
      <c r="T85" s="45"/>
      <c r="U85" s="45"/>
      <c r="V85" s="45"/>
    </row>
    <row r="86" spans="1:22" x14ac:dyDescent="0.2">
      <c r="A86" s="54">
        <v>43678</v>
      </c>
      <c r="B86" s="44">
        <v>5.4160005900000021</v>
      </c>
      <c r="C86" s="44">
        <f t="shared" si="1"/>
        <v>0.25</v>
      </c>
      <c r="D86" s="44">
        <v>5.6660005900000021</v>
      </c>
      <c r="E86" s="44"/>
      <c r="F86" s="44"/>
      <c r="G86" s="44"/>
      <c r="H86" s="44">
        <v>51.227899999999998</v>
      </c>
      <c r="I86" s="44">
        <v>59.900993999999997</v>
      </c>
      <c r="J86" s="44">
        <v>43.439005000000002</v>
      </c>
      <c r="K86" s="44"/>
      <c r="L86" s="44"/>
      <c r="M86" s="46"/>
      <c r="N86" s="46"/>
      <c r="T86" s="45"/>
      <c r="U86" s="45"/>
      <c r="V86" s="45"/>
    </row>
    <row r="87" spans="1:22" x14ac:dyDescent="0.2">
      <c r="A87" s="54">
        <v>43709</v>
      </c>
      <c r="B87" s="44">
        <v>5.097412320000001</v>
      </c>
      <c r="C87" s="44">
        <f t="shared" si="1"/>
        <v>0.24600000000000044</v>
      </c>
      <c r="D87" s="44">
        <v>5.3434123200000014</v>
      </c>
      <c r="E87" s="44"/>
      <c r="F87" s="44"/>
      <c r="G87" s="44"/>
      <c r="H87" s="44">
        <v>44.831400000000002</v>
      </c>
      <c r="I87" s="44">
        <v>48.572797000000001</v>
      </c>
      <c r="J87" s="44">
        <v>41.310572000000001</v>
      </c>
      <c r="K87" s="44"/>
      <c r="L87" s="44"/>
      <c r="M87" s="46"/>
      <c r="N87" s="46"/>
      <c r="T87" s="45"/>
      <c r="U87" s="45"/>
      <c r="V87" s="45"/>
    </row>
    <row r="88" spans="1:22" x14ac:dyDescent="0.2">
      <c r="A88" s="54">
        <v>43739</v>
      </c>
      <c r="B88" s="44">
        <v>4.7788240499999999</v>
      </c>
      <c r="C88" s="44">
        <f t="shared" si="1"/>
        <v>0.24600000000000044</v>
      </c>
      <c r="D88" s="44">
        <v>5.0248240500000003</v>
      </c>
      <c r="E88" s="44"/>
      <c r="F88" s="44"/>
      <c r="G88" s="44"/>
      <c r="H88" s="44">
        <v>42.7577</v>
      </c>
      <c r="I88" s="44">
        <v>46.147689999999997</v>
      </c>
      <c r="J88" s="44">
        <v>39.395265000000002</v>
      </c>
      <c r="K88" s="44"/>
      <c r="L88" s="44"/>
      <c r="M88" s="46"/>
      <c r="N88" s="46"/>
      <c r="T88" s="45"/>
      <c r="U88" s="45"/>
      <c r="V88" s="45"/>
    </row>
    <row r="89" spans="1:22" x14ac:dyDescent="0.2">
      <c r="A89" s="54">
        <v>43770</v>
      </c>
      <c r="B89" s="44">
        <v>5.097412320000001</v>
      </c>
      <c r="C89" s="44">
        <f t="shared" si="1"/>
        <v>0.36865000000000059</v>
      </c>
      <c r="D89" s="44">
        <v>5.4660623200000016</v>
      </c>
      <c r="E89" s="44"/>
      <c r="F89" s="44"/>
      <c r="G89" s="44"/>
      <c r="H89" s="44">
        <v>47.068800000000003</v>
      </c>
      <c r="I89" s="44">
        <v>50.651606999999998</v>
      </c>
      <c r="J89" s="44">
        <v>43.808202999999999</v>
      </c>
      <c r="K89" s="44"/>
      <c r="L89" s="44"/>
      <c r="M89" s="46"/>
      <c r="N89" s="46"/>
      <c r="T89" s="45"/>
      <c r="U89" s="45"/>
      <c r="V89" s="45"/>
    </row>
    <row r="90" spans="1:22" x14ac:dyDescent="0.2">
      <c r="A90" s="54">
        <v>43800</v>
      </c>
      <c r="B90" s="44">
        <v>5.4160005900000021</v>
      </c>
      <c r="C90" s="44">
        <f t="shared" si="1"/>
        <v>1.8644600000000002</v>
      </c>
      <c r="D90" s="44">
        <v>7.2804605900000023</v>
      </c>
      <c r="E90" s="44"/>
      <c r="F90" s="44"/>
      <c r="G90" s="44"/>
      <c r="H90" s="44">
        <v>66.550899999999999</v>
      </c>
      <c r="I90" s="44">
        <v>76.402300999999994</v>
      </c>
      <c r="J90" s="44">
        <v>57.705280000000002</v>
      </c>
      <c r="K90" s="44"/>
      <c r="L90" s="44"/>
      <c r="M90" s="46"/>
      <c r="N90" s="46"/>
      <c r="T90" s="45"/>
      <c r="U90" s="45"/>
      <c r="V90" s="45"/>
    </row>
    <row r="91" spans="1:22" x14ac:dyDescent="0.2">
      <c r="A91" s="54">
        <v>43831</v>
      </c>
      <c r="B91" s="44">
        <v>5.5784806077000022</v>
      </c>
      <c r="C91" s="44">
        <f t="shared" si="1"/>
        <v>3.5238899999999989</v>
      </c>
      <c r="D91" s="44">
        <v>9.1023706077000011</v>
      </c>
      <c r="E91" s="44"/>
      <c r="F91" s="44"/>
      <c r="G91" s="44"/>
      <c r="H91" s="44">
        <v>92.037499999999994</v>
      </c>
      <c r="I91" s="44">
        <v>110.27769000000001</v>
      </c>
      <c r="J91" s="44">
        <v>74.185478000000003</v>
      </c>
      <c r="K91" s="44"/>
      <c r="L91" s="44"/>
      <c r="M91" s="46"/>
      <c r="N91" s="46"/>
      <c r="T91" s="45"/>
      <c r="U91" s="45"/>
      <c r="V91" s="45"/>
    </row>
    <row r="92" spans="1:22" x14ac:dyDescent="0.2">
      <c r="A92" s="54">
        <v>43862</v>
      </c>
      <c r="B92" s="44">
        <v>5.5784806077000022</v>
      </c>
      <c r="C92" s="44">
        <f t="shared" si="1"/>
        <v>2.9269800000000012</v>
      </c>
      <c r="D92" s="44">
        <v>8.5054606077000035</v>
      </c>
      <c r="E92" s="44"/>
      <c r="F92" s="44"/>
      <c r="G92" s="44"/>
      <c r="H92" s="44">
        <v>72.464100000000002</v>
      </c>
      <c r="I92" s="44">
        <v>79.056218000000001</v>
      </c>
      <c r="J92" s="44">
        <v>66.853669999999994</v>
      </c>
      <c r="K92" s="44"/>
      <c r="L92" s="44"/>
      <c r="M92" s="46"/>
      <c r="N92" s="46"/>
      <c r="T92" s="45"/>
      <c r="U92" s="45"/>
      <c r="V92" s="45"/>
    </row>
    <row r="93" spans="1:22" x14ac:dyDescent="0.2">
      <c r="A93" s="54">
        <v>43891</v>
      </c>
      <c r="B93" s="44">
        <v>5.2503346896000016</v>
      </c>
      <c r="C93" s="44">
        <f t="shared" si="1"/>
        <v>0.65044000000000057</v>
      </c>
      <c r="D93" s="44">
        <v>5.9007746896000022</v>
      </c>
      <c r="E93" s="44"/>
      <c r="F93" s="44"/>
      <c r="G93" s="44"/>
      <c r="H93" s="44">
        <v>50.542900000000003</v>
      </c>
      <c r="I93" s="44">
        <v>55.547414000000003</v>
      </c>
      <c r="J93" s="44">
        <v>46.047933</v>
      </c>
      <c r="K93" s="44"/>
      <c r="L93" s="44"/>
      <c r="M93" s="46"/>
      <c r="N93" s="46"/>
      <c r="T93" s="45"/>
      <c r="U93" s="45"/>
      <c r="V93" s="45"/>
    </row>
    <row r="94" spans="1:22" x14ac:dyDescent="0.2">
      <c r="A94" s="54">
        <v>43922</v>
      </c>
      <c r="B94" s="44">
        <v>4.9221887715000001</v>
      </c>
      <c r="C94" s="44">
        <f t="shared" si="1"/>
        <v>0.22725000000000062</v>
      </c>
      <c r="D94" s="44">
        <v>5.1494387715000007</v>
      </c>
      <c r="E94" s="44"/>
      <c r="F94" s="44"/>
      <c r="G94" s="44"/>
      <c r="H94" s="44">
        <v>45.793999999999997</v>
      </c>
      <c r="I94" s="44">
        <v>50.617784</v>
      </c>
      <c r="J94" s="44">
        <v>41.179918000000001</v>
      </c>
      <c r="K94" s="44"/>
      <c r="L94" s="44"/>
      <c r="M94" s="46"/>
      <c r="N94" s="46"/>
      <c r="T94" s="45"/>
      <c r="U94" s="45"/>
      <c r="V94" s="45"/>
    </row>
    <row r="95" spans="1:22" x14ac:dyDescent="0.2">
      <c r="A95" s="54">
        <v>43952</v>
      </c>
      <c r="B95" s="44">
        <v>5.2503346896000016</v>
      </c>
      <c r="C95" s="44">
        <f t="shared" si="1"/>
        <v>0.23734999999999928</v>
      </c>
      <c r="D95" s="44">
        <v>5.4876846896000009</v>
      </c>
      <c r="E95" s="44"/>
      <c r="F95" s="44"/>
      <c r="G95" s="44"/>
      <c r="H95" s="44">
        <v>46.993699999999997</v>
      </c>
      <c r="I95" s="44">
        <v>52.585773000000003</v>
      </c>
      <c r="J95" s="44">
        <v>42.388871999999999</v>
      </c>
      <c r="K95" s="44"/>
      <c r="L95" s="44"/>
      <c r="M95" s="46"/>
      <c r="N95" s="46"/>
      <c r="T95" s="45"/>
      <c r="U95" s="45"/>
      <c r="V95" s="45"/>
    </row>
    <row r="96" spans="1:22" x14ac:dyDescent="0.2">
      <c r="A96" s="54">
        <v>43983</v>
      </c>
      <c r="B96" s="44">
        <v>5.3815930568399999</v>
      </c>
      <c r="C96" s="44">
        <f t="shared" si="1"/>
        <v>0.24037999999999915</v>
      </c>
      <c r="D96" s="44">
        <v>5.621973056839999</v>
      </c>
      <c r="E96" s="44"/>
      <c r="F96" s="44"/>
      <c r="G96" s="44"/>
      <c r="H96" s="44">
        <v>52.826999999999998</v>
      </c>
      <c r="I96" s="44">
        <v>62.936818000000002</v>
      </c>
      <c r="J96" s="44">
        <v>43.156222</v>
      </c>
      <c r="K96" s="44"/>
      <c r="L96" s="44"/>
      <c r="M96" s="46"/>
      <c r="N96" s="46"/>
      <c r="T96" s="45"/>
      <c r="U96" s="45"/>
      <c r="V96" s="45"/>
    </row>
    <row r="97" spans="1:22" x14ac:dyDescent="0.2">
      <c r="A97" s="54">
        <v>44013</v>
      </c>
      <c r="B97" s="44">
        <v>5.5784806077000022</v>
      </c>
      <c r="C97" s="44">
        <f t="shared" si="1"/>
        <v>0.24643999999999977</v>
      </c>
      <c r="D97" s="44">
        <v>5.824920607700002</v>
      </c>
      <c r="E97" s="44"/>
      <c r="F97" s="44"/>
      <c r="G97" s="44"/>
      <c r="H97" s="44">
        <v>61.490900000000003</v>
      </c>
      <c r="I97" s="44">
        <v>77.083043000000004</v>
      </c>
      <c r="J97" s="44">
        <v>46.230212000000002</v>
      </c>
      <c r="K97" s="44"/>
      <c r="L97" s="44"/>
      <c r="M97" s="46"/>
      <c r="N97" s="46"/>
      <c r="T97" s="45"/>
      <c r="U97" s="45"/>
      <c r="V97" s="45"/>
    </row>
    <row r="98" spans="1:22" x14ac:dyDescent="0.2">
      <c r="A98" s="54">
        <v>44044</v>
      </c>
      <c r="B98" s="44">
        <v>5.5784806077000022</v>
      </c>
      <c r="C98" s="44">
        <f t="shared" si="1"/>
        <v>0.25250000000000039</v>
      </c>
      <c r="D98" s="44">
        <v>5.8309806077000026</v>
      </c>
      <c r="E98" s="44"/>
      <c r="F98" s="44"/>
      <c r="G98" s="44"/>
      <c r="H98" s="44">
        <v>52.690300000000001</v>
      </c>
      <c r="I98" s="44">
        <v>61.69491</v>
      </c>
      <c r="J98" s="44">
        <v>45.275979999999997</v>
      </c>
      <c r="K98" s="44"/>
      <c r="L98" s="44"/>
      <c r="M98" s="46"/>
      <c r="N98" s="46"/>
      <c r="T98" s="45"/>
      <c r="U98" s="45"/>
      <c r="V98" s="45"/>
    </row>
    <row r="99" spans="1:22" x14ac:dyDescent="0.2">
      <c r="A99" s="54">
        <v>44075</v>
      </c>
      <c r="B99" s="44">
        <v>5.2503346896000016</v>
      </c>
      <c r="C99" s="44">
        <f t="shared" si="1"/>
        <v>0.24846000000000057</v>
      </c>
      <c r="D99" s="44">
        <v>5.4987946896000022</v>
      </c>
      <c r="E99" s="44"/>
      <c r="F99" s="44"/>
      <c r="G99" s="44"/>
      <c r="H99" s="44">
        <v>46.716900000000003</v>
      </c>
      <c r="I99" s="44">
        <v>50.333806000000003</v>
      </c>
      <c r="J99" s="44">
        <v>43.170352999999999</v>
      </c>
      <c r="K99" s="44"/>
      <c r="L99" s="44"/>
      <c r="M99" s="46"/>
      <c r="N99" s="46"/>
      <c r="T99" s="45"/>
      <c r="U99" s="45"/>
      <c r="V99" s="45"/>
    </row>
    <row r="100" spans="1:22" x14ac:dyDescent="0.2">
      <c r="A100" s="54">
        <v>44105</v>
      </c>
      <c r="B100" s="44">
        <v>4.9221887715000001</v>
      </c>
      <c r="C100" s="44">
        <f t="shared" si="1"/>
        <v>0.24846000000000057</v>
      </c>
      <c r="D100" s="44">
        <v>5.1706487715000007</v>
      </c>
      <c r="E100" s="44"/>
      <c r="F100" s="44"/>
      <c r="G100" s="44"/>
      <c r="H100" s="44">
        <v>44.540999999999997</v>
      </c>
      <c r="I100" s="44">
        <v>47.897727000000003</v>
      </c>
      <c r="J100" s="44">
        <v>41.319336</v>
      </c>
      <c r="K100" s="44"/>
      <c r="L100" s="44"/>
      <c r="M100" s="46"/>
      <c r="N100" s="46"/>
      <c r="T100" s="45"/>
      <c r="U100" s="45"/>
      <c r="V100" s="45"/>
    </row>
    <row r="101" spans="1:22" x14ac:dyDescent="0.2">
      <c r="A101" s="54">
        <v>44136</v>
      </c>
      <c r="B101" s="44">
        <v>5.2503346896000016</v>
      </c>
      <c r="C101" s="44">
        <f t="shared" si="1"/>
        <v>0.37233650000000029</v>
      </c>
      <c r="D101" s="44">
        <v>5.6226711896000019</v>
      </c>
      <c r="E101" s="44"/>
      <c r="F101" s="44"/>
      <c r="G101" s="44"/>
      <c r="H101" s="44">
        <v>49.689399999999999</v>
      </c>
      <c r="I101" s="44">
        <v>53.995683999999997</v>
      </c>
      <c r="J101" s="44">
        <v>45.794583000000003</v>
      </c>
      <c r="K101" s="44"/>
      <c r="L101" s="44"/>
      <c r="M101" s="46"/>
      <c r="N101" s="46"/>
      <c r="T101" s="45"/>
      <c r="U101" s="45"/>
      <c r="V101" s="45"/>
    </row>
    <row r="102" spans="1:22" x14ac:dyDescent="0.2">
      <c r="A102" s="54">
        <v>44166</v>
      </c>
      <c r="B102" s="44">
        <v>5.5784806077000022</v>
      </c>
      <c r="C102" s="44">
        <f t="shared" si="1"/>
        <v>1.8831046000000002</v>
      </c>
      <c r="D102" s="44">
        <v>7.4615852077000024</v>
      </c>
      <c r="E102" s="44"/>
      <c r="F102" s="44"/>
      <c r="G102" s="44"/>
      <c r="H102" s="44">
        <v>69.729299999999995</v>
      </c>
      <c r="I102" s="44">
        <v>79.902934000000002</v>
      </c>
      <c r="J102" s="44">
        <v>59.772525999999999</v>
      </c>
      <c r="K102" s="44"/>
      <c r="L102" s="44"/>
      <c r="M102" s="46"/>
      <c r="N102" s="46"/>
      <c r="T102" s="45"/>
      <c r="U102" s="45"/>
      <c r="V102" s="45"/>
    </row>
    <row r="103" spans="1:22" x14ac:dyDescent="0.2">
      <c r="A103" s="54">
        <v>44197</v>
      </c>
      <c r="B103" s="44">
        <v>5.7458350259310027</v>
      </c>
      <c r="C103" s="44">
        <f t="shared" si="1"/>
        <v>3.5591288999999993</v>
      </c>
      <c r="D103" s="44">
        <v>9.304963925931002</v>
      </c>
      <c r="E103" s="44"/>
      <c r="F103" s="44"/>
      <c r="G103" s="44"/>
      <c r="H103" s="44">
        <v>92.593199999999996</v>
      </c>
      <c r="I103" s="44">
        <v>112.82868999999999</v>
      </c>
      <c r="J103" s="44">
        <v>75.929191000000003</v>
      </c>
      <c r="K103" s="44"/>
      <c r="L103" s="44"/>
      <c r="M103" s="46"/>
      <c r="N103" s="46"/>
      <c r="T103" s="45"/>
      <c r="U103" s="45"/>
      <c r="V103" s="45"/>
    </row>
    <row r="104" spans="1:22" x14ac:dyDescent="0.2">
      <c r="A104" s="54">
        <v>44228</v>
      </c>
      <c r="B104" s="44">
        <v>5.7458350259310027</v>
      </c>
      <c r="C104" s="44">
        <f t="shared" si="1"/>
        <v>2.9562498000000001</v>
      </c>
      <c r="D104" s="44">
        <v>8.7020848259310029</v>
      </c>
      <c r="E104" s="44"/>
      <c r="F104" s="44"/>
      <c r="G104" s="44"/>
      <c r="H104" s="44">
        <v>74.475300000000004</v>
      </c>
      <c r="I104" s="44">
        <v>81.563592999999997</v>
      </c>
      <c r="J104" s="44">
        <v>68.032556</v>
      </c>
      <c r="K104" s="44"/>
      <c r="L104" s="44"/>
      <c r="M104" s="46"/>
      <c r="N104" s="46"/>
      <c r="T104" s="45"/>
      <c r="U104" s="45"/>
      <c r="V104" s="45"/>
    </row>
    <row r="105" spans="1:22" x14ac:dyDescent="0.2">
      <c r="A105" s="54">
        <v>44256</v>
      </c>
      <c r="B105" s="44">
        <v>5.4078447302880015</v>
      </c>
      <c r="C105" s="44">
        <f t="shared" si="1"/>
        <v>0.65694440000000043</v>
      </c>
      <c r="D105" s="44">
        <v>6.0647891302880019</v>
      </c>
      <c r="E105" s="44"/>
      <c r="F105" s="44"/>
      <c r="G105" s="44"/>
      <c r="H105" s="44">
        <v>52.322699999999998</v>
      </c>
      <c r="I105" s="44">
        <v>57.248668000000002</v>
      </c>
      <c r="J105" s="44">
        <v>47.500850999999997</v>
      </c>
      <c r="K105" s="44"/>
      <c r="L105" s="44"/>
      <c r="M105" s="46"/>
      <c r="N105" s="46"/>
      <c r="T105" s="45"/>
      <c r="U105" s="45"/>
      <c r="V105" s="45"/>
    </row>
    <row r="106" spans="1:22" x14ac:dyDescent="0.2">
      <c r="A106" s="54">
        <v>44287</v>
      </c>
      <c r="B106" s="44">
        <v>5.0698544346450003</v>
      </c>
      <c r="C106" s="44">
        <f t="shared" si="1"/>
        <v>0.22952250000000074</v>
      </c>
      <c r="D106" s="44">
        <v>5.299376934645001</v>
      </c>
      <c r="E106" s="44"/>
      <c r="F106" s="44"/>
      <c r="G106" s="44"/>
      <c r="H106" s="44">
        <v>47.355499999999999</v>
      </c>
      <c r="I106" s="44">
        <v>52.478011000000002</v>
      </c>
      <c r="J106" s="44">
        <v>42.455516000000003</v>
      </c>
      <c r="K106" s="44"/>
      <c r="L106" s="44"/>
      <c r="M106" s="46"/>
      <c r="N106" s="46"/>
      <c r="T106" s="45"/>
      <c r="U106" s="45"/>
      <c r="V106" s="45"/>
    </row>
    <row r="107" spans="1:22" x14ac:dyDescent="0.2">
      <c r="A107" s="54">
        <v>44317</v>
      </c>
      <c r="B107" s="44">
        <v>5.4078447302880015</v>
      </c>
      <c r="C107" s="44">
        <f t="shared" si="1"/>
        <v>0.23972349999999931</v>
      </c>
      <c r="D107" s="44">
        <v>5.6475682302880008</v>
      </c>
      <c r="E107" s="44"/>
      <c r="F107" s="44"/>
      <c r="G107" s="44"/>
      <c r="H107" s="44">
        <v>49.255200000000002</v>
      </c>
      <c r="I107" s="44">
        <v>55.846755000000002</v>
      </c>
      <c r="J107" s="44">
        <v>43.82723</v>
      </c>
      <c r="K107" s="44"/>
      <c r="L107" s="44"/>
      <c r="M107" s="46"/>
      <c r="N107" s="46"/>
      <c r="T107" s="45"/>
      <c r="U107" s="45"/>
      <c r="V107" s="45"/>
    </row>
    <row r="108" spans="1:22" x14ac:dyDescent="0.2">
      <c r="A108" s="54">
        <v>44348</v>
      </c>
      <c r="B108" s="44">
        <v>5.5430408485451999</v>
      </c>
      <c r="C108" s="44">
        <f t="shared" si="1"/>
        <v>0.24278379999999977</v>
      </c>
      <c r="D108" s="44">
        <v>5.7858246485451996</v>
      </c>
      <c r="E108" s="44"/>
      <c r="F108" s="44"/>
      <c r="G108" s="44"/>
      <c r="H108" s="44">
        <v>54.444800000000001</v>
      </c>
      <c r="I108" s="44">
        <v>64.456704000000002</v>
      </c>
      <c r="J108" s="44">
        <v>44.868206000000001</v>
      </c>
      <c r="K108" s="44"/>
      <c r="L108" s="44"/>
      <c r="M108" s="46"/>
      <c r="N108" s="46"/>
      <c r="T108" s="45"/>
      <c r="U108" s="45"/>
      <c r="V108" s="45"/>
    </row>
    <row r="109" spans="1:22" x14ac:dyDescent="0.2">
      <c r="A109" s="54">
        <v>44378</v>
      </c>
      <c r="B109" s="44">
        <v>5.7458350259310027</v>
      </c>
      <c r="C109" s="44">
        <f t="shared" si="1"/>
        <v>0.2489043999999998</v>
      </c>
      <c r="D109" s="44">
        <v>5.9947394259310025</v>
      </c>
      <c r="E109" s="44"/>
      <c r="F109" s="44"/>
      <c r="G109" s="44"/>
      <c r="H109" s="44">
        <v>62.173999999999999</v>
      </c>
      <c r="I109" s="44">
        <v>78.345284000000007</v>
      </c>
      <c r="J109" s="44">
        <v>47.653750000000002</v>
      </c>
      <c r="K109" s="44"/>
      <c r="L109" s="44"/>
      <c r="M109" s="46"/>
      <c r="N109" s="46"/>
      <c r="T109" s="45"/>
      <c r="U109" s="45"/>
      <c r="V109" s="45"/>
    </row>
    <row r="110" spans="1:22" x14ac:dyDescent="0.2">
      <c r="A110" s="54">
        <v>44409</v>
      </c>
      <c r="B110" s="44">
        <v>5.7458350259310027</v>
      </c>
      <c r="C110" s="44">
        <f t="shared" si="1"/>
        <v>0.25502499999999984</v>
      </c>
      <c r="D110" s="44">
        <v>6.0008600259310025</v>
      </c>
      <c r="E110" s="44"/>
      <c r="F110" s="44"/>
      <c r="G110" s="44"/>
      <c r="H110" s="44">
        <v>54.047199999999997</v>
      </c>
      <c r="I110" s="44">
        <v>62.358125000000001</v>
      </c>
      <c r="J110" s="44">
        <v>46.583775000000003</v>
      </c>
      <c r="K110" s="44"/>
      <c r="L110" s="44"/>
      <c r="M110" s="46"/>
      <c r="N110" s="46"/>
      <c r="T110" s="45"/>
      <c r="U110" s="45"/>
      <c r="V110" s="45"/>
    </row>
    <row r="111" spans="1:22" x14ac:dyDescent="0.2">
      <c r="A111" s="54">
        <v>44440</v>
      </c>
      <c r="B111" s="44">
        <v>5.4078447302880015</v>
      </c>
      <c r="C111" s="44">
        <f t="shared" si="1"/>
        <v>0.25094460000000041</v>
      </c>
      <c r="D111" s="44">
        <v>5.6587893302880019</v>
      </c>
      <c r="E111" s="44"/>
      <c r="F111" s="44"/>
      <c r="G111" s="44"/>
      <c r="H111" s="44">
        <v>47.933</v>
      </c>
      <c r="I111" s="44">
        <v>51.411250000000003</v>
      </c>
      <c r="J111" s="44">
        <v>44.518287999999998</v>
      </c>
      <c r="K111" s="44"/>
      <c r="L111" s="44"/>
      <c r="M111" s="46"/>
      <c r="N111" s="46"/>
      <c r="T111" s="45"/>
      <c r="U111" s="45"/>
      <c r="V111" s="45"/>
    </row>
    <row r="112" spans="1:22" x14ac:dyDescent="0.2">
      <c r="A112" s="54">
        <v>44470</v>
      </c>
      <c r="B112" s="44">
        <v>5.0698544346450003</v>
      </c>
      <c r="C112" s="44">
        <f t="shared" si="1"/>
        <v>0.25094460000000041</v>
      </c>
      <c r="D112" s="44">
        <v>5.3207990346450007</v>
      </c>
      <c r="E112" s="44"/>
      <c r="F112" s="44"/>
      <c r="G112" s="44"/>
      <c r="H112" s="44">
        <v>45.655799999999999</v>
      </c>
      <c r="I112" s="44">
        <v>49.029879999999999</v>
      </c>
      <c r="J112" s="44">
        <v>42.522401000000002</v>
      </c>
      <c r="K112" s="44"/>
      <c r="L112" s="44"/>
      <c r="M112" s="46"/>
      <c r="N112" s="46"/>
      <c r="T112" s="45"/>
      <c r="U112" s="45"/>
      <c r="V112" s="45"/>
    </row>
    <row r="113" spans="1:22" x14ac:dyDescent="0.2">
      <c r="A113" s="54">
        <v>44501</v>
      </c>
      <c r="B113" s="44">
        <v>5.4078447302880015</v>
      </c>
      <c r="C113" s="44">
        <f t="shared" si="1"/>
        <v>0.37605986500000022</v>
      </c>
      <c r="D113" s="44">
        <v>5.7839045952880017</v>
      </c>
      <c r="E113" s="44"/>
      <c r="F113" s="44"/>
      <c r="G113" s="44"/>
      <c r="H113" s="44">
        <v>51.4636</v>
      </c>
      <c r="I113" s="44">
        <v>55.967187000000003</v>
      </c>
      <c r="J113" s="44">
        <v>47.113205999999998</v>
      </c>
      <c r="K113" s="44"/>
      <c r="L113" s="44"/>
      <c r="M113" s="46"/>
      <c r="N113" s="46"/>
      <c r="T113" s="45"/>
      <c r="U113" s="45"/>
      <c r="V113" s="45"/>
    </row>
    <row r="114" spans="1:22" x14ac:dyDescent="0.2">
      <c r="A114" s="54">
        <v>44531</v>
      </c>
      <c r="B114" s="44">
        <v>5.7458350259310027</v>
      </c>
      <c r="C114" s="44">
        <f t="shared" si="1"/>
        <v>1.9019356460000001</v>
      </c>
      <c r="D114" s="44">
        <v>7.6477706719310028</v>
      </c>
      <c r="E114" s="44"/>
      <c r="F114" s="44"/>
      <c r="G114" s="44"/>
      <c r="H114" s="44">
        <v>71.329499999999996</v>
      </c>
      <c r="I114" s="44">
        <v>81.504401999999999</v>
      </c>
      <c r="J114" s="44">
        <v>61.369813000000001</v>
      </c>
      <c r="K114" s="44"/>
      <c r="L114" s="44"/>
      <c r="M114" s="46"/>
      <c r="N114" s="46"/>
      <c r="T114" s="45"/>
      <c r="U114" s="45"/>
      <c r="V114" s="45"/>
    </row>
    <row r="115" spans="1:22" x14ac:dyDescent="0.2">
      <c r="A115" s="54">
        <v>44562</v>
      </c>
      <c r="B115" s="44">
        <v>5.9182100767089327</v>
      </c>
      <c r="C115" s="44">
        <f t="shared" si="1"/>
        <v>3.5947201889999985</v>
      </c>
      <c r="D115" s="44">
        <v>9.5129302657089312</v>
      </c>
      <c r="E115" s="44"/>
      <c r="F115" s="44"/>
      <c r="G115" s="44"/>
      <c r="H115" s="44">
        <v>95.488600000000005</v>
      </c>
      <c r="I115" s="44">
        <v>116.145416</v>
      </c>
      <c r="J115" s="44">
        <v>78.477278999999996</v>
      </c>
      <c r="K115" s="44"/>
      <c r="L115" s="44"/>
      <c r="M115" s="46"/>
      <c r="N115" s="46"/>
      <c r="T115" s="45"/>
      <c r="U115" s="45"/>
      <c r="V115" s="45"/>
    </row>
    <row r="116" spans="1:22" x14ac:dyDescent="0.2">
      <c r="A116" s="54">
        <v>44593</v>
      </c>
      <c r="B116" s="44">
        <v>5.9182100767089327</v>
      </c>
      <c r="C116" s="44">
        <f t="shared" si="1"/>
        <v>2.9858122980000008</v>
      </c>
      <c r="D116" s="44">
        <v>8.9040223747089335</v>
      </c>
      <c r="E116" s="44"/>
      <c r="F116" s="44"/>
      <c r="G116" s="44"/>
      <c r="H116" s="44">
        <v>77.122799999999998</v>
      </c>
      <c r="I116" s="44">
        <v>84.249656000000002</v>
      </c>
      <c r="J116" s="44">
        <v>70.643437000000006</v>
      </c>
      <c r="K116" s="44"/>
      <c r="L116" s="44"/>
      <c r="M116" s="46"/>
      <c r="N116" s="46"/>
      <c r="T116" s="45"/>
      <c r="U116" s="45"/>
      <c r="V116" s="45"/>
    </row>
    <row r="117" spans="1:22" x14ac:dyDescent="0.2">
      <c r="A117" s="54">
        <v>44621</v>
      </c>
      <c r="B117" s="44">
        <v>5.5700800721966415</v>
      </c>
      <c r="C117" s="44">
        <f t="shared" si="1"/>
        <v>0.66351384399999969</v>
      </c>
      <c r="D117" s="44">
        <v>6.2335939161966412</v>
      </c>
      <c r="E117" s="44"/>
      <c r="F117" s="44"/>
      <c r="G117" s="44"/>
      <c r="H117" s="44">
        <v>54.453200000000002</v>
      </c>
      <c r="I117" s="44">
        <v>59.302092000000002</v>
      </c>
      <c r="J117" s="44">
        <v>49.705584999999999</v>
      </c>
      <c r="K117" s="44"/>
      <c r="L117" s="44"/>
      <c r="M117" s="46"/>
      <c r="N117" s="46"/>
      <c r="T117" s="45"/>
      <c r="U117" s="45"/>
      <c r="V117" s="45"/>
    </row>
    <row r="118" spans="1:22" x14ac:dyDescent="0.2">
      <c r="A118" s="54">
        <v>44652</v>
      </c>
      <c r="B118" s="44">
        <v>5.2219500676843502</v>
      </c>
      <c r="C118" s="44">
        <f t="shared" si="1"/>
        <v>0.23181772500000086</v>
      </c>
      <c r="D118" s="44">
        <v>5.4537677926843511</v>
      </c>
      <c r="E118" s="44"/>
      <c r="F118" s="44"/>
      <c r="G118" s="44"/>
      <c r="H118" s="44">
        <v>49.650100000000002</v>
      </c>
      <c r="I118" s="44">
        <v>55.441875000000003</v>
      </c>
      <c r="J118" s="44">
        <v>44.584166000000003</v>
      </c>
      <c r="K118" s="44"/>
      <c r="L118" s="44"/>
      <c r="M118" s="46"/>
      <c r="N118" s="46"/>
      <c r="T118" s="45"/>
      <c r="U118" s="45"/>
      <c r="V118" s="45"/>
    </row>
    <row r="119" spans="1:22" x14ac:dyDescent="0.2">
      <c r="A119" s="54">
        <v>44682</v>
      </c>
      <c r="B119" s="44">
        <v>5.5700800721966415</v>
      </c>
      <c r="C119" s="44">
        <f t="shared" si="1"/>
        <v>0.24212073499999942</v>
      </c>
      <c r="D119" s="44">
        <v>5.8122008071966409</v>
      </c>
      <c r="E119" s="44"/>
      <c r="F119" s="44"/>
      <c r="G119" s="44"/>
      <c r="H119" s="44">
        <v>53.982100000000003</v>
      </c>
      <c r="I119" s="44">
        <v>62.652357000000002</v>
      </c>
      <c r="J119" s="44">
        <v>46.198749999999997</v>
      </c>
      <c r="K119" s="44"/>
      <c r="L119" s="44"/>
      <c r="M119" s="46"/>
      <c r="N119" s="46"/>
      <c r="T119" s="45"/>
      <c r="U119" s="45"/>
      <c r="V119" s="45"/>
    </row>
    <row r="120" spans="1:22" x14ac:dyDescent="0.2">
      <c r="A120" s="54">
        <v>44713</v>
      </c>
      <c r="B120" s="44">
        <v>5.7093320740015558</v>
      </c>
      <c r="C120" s="44">
        <f t="shared" si="1"/>
        <v>0.24521163799999979</v>
      </c>
      <c r="D120" s="44">
        <v>5.9545437120015556</v>
      </c>
      <c r="E120" s="44"/>
      <c r="F120" s="44"/>
      <c r="G120" s="44"/>
      <c r="H120" s="44">
        <v>56.6126</v>
      </c>
      <c r="I120" s="44">
        <v>66.320255000000003</v>
      </c>
      <c r="J120" s="44">
        <v>47.326059000000001</v>
      </c>
      <c r="K120" s="44"/>
      <c r="L120" s="44"/>
      <c r="M120" s="46"/>
      <c r="N120" s="46"/>
      <c r="T120" s="45"/>
      <c r="U120" s="45"/>
      <c r="V120" s="45"/>
    </row>
    <row r="121" spans="1:22" x14ac:dyDescent="0.2">
      <c r="A121" s="54">
        <v>44743</v>
      </c>
      <c r="B121" s="44">
        <v>5.9182100767089327</v>
      </c>
      <c r="C121" s="44">
        <f t="shared" si="1"/>
        <v>0.25139344399999963</v>
      </c>
      <c r="D121" s="44">
        <v>6.1696035207089324</v>
      </c>
      <c r="E121" s="44"/>
      <c r="F121" s="44"/>
      <c r="G121" s="44"/>
      <c r="H121" s="44">
        <v>63.898000000000003</v>
      </c>
      <c r="I121" s="44">
        <v>80.979016999999999</v>
      </c>
      <c r="J121" s="44">
        <v>49.831029000000001</v>
      </c>
      <c r="K121" s="44"/>
      <c r="L121" s="44"/>
      <c r="M121" s="46"/>
      <c r="N121" s="46"/>
      <c r="T121" s="45"/>
      <c r="U121" s="45"/>
      <c r="V121" s="45"/>
    </row>
    <row r="122" spans="1:22" x14ac:dyDescent="0.2">
      <c r="A122" s="54">
        <v>44774</v>
      </c>
      <c r="B122" s="44">
        <v>5.9182100767089327</v>
      </c>
      <c r="C122" s="44">
        <f t="shared" si="1"/>
        <v>0.25757525000000037</v>
      </c>
      <c r="D122" s="44">
        <v>6.1757853267089331</v>
      </c>
      <c r="E122" s="44"/>
      <c r="F122" s="44"/>
      <c r="G122" s="44"/>
      <c r="H122" s="44">
        <v>56.1111</v>
      </c>
      <c r="I122" s="44">
        <v>63.312336000000002</v>
      </c>
      <c r="J122" s="44">
        <v>49.062606000000002</v>
      </c>
      <c r="K122" s="44"/>
      <c r="L122" s="44"/>
      <c r="M122" s="46"/>
      <c r="N122" s="46"/>
      <c r="T122" s="45"/>
      <c r="U122" s="45"/>
      <c r="V122" s="45"/>
    </row>
    <row r="123" spans="1:22" x14ac:dyDescent="0.2">
      <c r="A123" s="54">
        <v>44805</v>
      </c>
      <c r="B123" s="44">
        <v>5.5700800721966415</v>
      </c>
      <c r="C123" s="44">
        <f t="shared" si="1"/>
        <v>0.25345404600000077</v>
      </c>
      <c r="D123" s="44">
        <v>5.8235341181966422</v>
      </c>
      <c r="E123" s="44"/>
      <c r="F123" s="44"/>
      <c r="G123" s="44"/>
      <c r="H123" s="44">
        <v>49.931399999999996</v>
      </c>
      <c r="I123" s="44">
        <v>53.269119000000003</v>
      </c>
      <c r="J123" s="44">
        <v>46.649157000000002</v>
      </c>
      <c r="K123" s="44"/>
      <c r="L123" s="44"/>
      <c r="M123" s="46"/>
      <c r="N123" s="46"/>
      <c r="T123" s="45"/>
      <c r="U123" s="45"/>
      <c r="V123" s="45"/>
    </row>
    <row r="124" spans="1:22" x14ac:dyDescent="0.2">
      <c r="A124" s="54">
        <v>44835</v>
      </c>
      <c r="B124" s="44">
        <v>5.2219500676843502</v>
      </c>
      <c r="C124" s="44">
        <f t="shared" si="1"/>
        <v>0.25345404600000077</v>
      </c>
      <c r="D124" s="44">
        <v>5.475404113684351</v>
      </c>
      <c r="E124" s="44"/>
      <c r="F124" s="44"/>
      <c r="G124" s="44"/>
      <c r="H124" s="44">
        <v>47.657400000000003</v>
      </c>
      <c r="I124" s="44">
        <v>50.96</v>
      </c>
      <c r="J124" s="44">
        <v>44.585538999999997</v>
      </c>
      <c r="K124" s="44"/>
      <c r="L124" s="44"/>
      <c r="M124" s="46"/>
      <c r="N124" s="46"/>
      <c r="T124" s="45"/>
      <c r="U124" s="45"/>
      <c r="V124" s="45"/>
    </row>
    <row r="125" spans="1:22" x14ac:dyDescent="0.2">
      <c r="A125" s="54">
        <v>44866</v>
      </c>
      <c r="B125" s="44">
        <v>5.5700800721966415</v>
      </c>
      <c r="C125" s="44">
        <f t="shared" si="1"/>
        <v>0.37982046364999977</v>
      </c>
      <c r="D125" s="44">
        <v>5.9499005358466412</v>
      </c>
      <c r="E125" s="44"/>
      <c r="F125" s="44"/>
      <c r="G125" s="44"/>
      <c r="H125" s="44">
        <v>53.749299999999998</v>
      </c>
      <c r="I125" s="44">
        <v>58.550710000000002</v>
      </c>
      <c r="J125" s="44">
        <v>49.116031999999997</v>
      </c>
      <c r="K125" s="44"/>
      <c r="L125" s="44"/>
      <c r="M125" s="46"/>
      <c r="N125" s="46"/>
      <c r="T125" s="45"/>
      <c r="U125" s="45"/>
      <c r="V125" s="45"/>
    </row>
    <row r="126" spans="1:22" x14ac:dyDescent="0.2">
      <c r="A126" s="54">
        <v>44896</v>
      </c>
      <c r="B126" s="44">
        <v>5.9182100767089327</v>
      </c>
      <c r="C126" s="44">
        <f t="shared" si="1"/>
        <v>1.9209550024600004</v>
      </c>
      <c r="D126" s="44">
        <v>7.8391650791689331</v>
      </c>
      <c r="E126" s="44"/>
      <c r="F126" s="44"/>
      <c r="G126" s="44"/>
      <c r="H126" s="44">
        <v>73.706000000000003</v>
      </c>
      <c r="I126" s="44">
        <v>84.546051000000006</v>
      </c>
      <c r="J126" s="44">
        <v>63.971760000000003</v>
      </c>
      <c r="K126" s="44"/>
      <c r="L126" s="44"/>
      <c r="M126" s="46"/>
      <c r="N126" s="46"/>
      <c r="T126" s="45"/>
      <c r="U126" s="45"/>
      <c r="V126" s="45"/>
    </row>
    <row r="127" spans="1:22" x14ac:dyDescent="0.2">
      <c r="A127" s="54">
        <v>44927</v>
      </c>
      <c r="B127" s="44">
        <f>B115*(1+B$4)</f>
        <v>6.0365742782431111</v>
      </c>
      <c r="C127" s="44">
        <f>D127-B127</f>
        <v>3.6666145927799993</v>
      </c>
      <c r="D127" s="44">
        <f>D115*(1+D$4)</f>
        <v>9.7031888710231105</v>
      </c>
      <c r="E127" s="44"/>
      <c r="F127" s="44"/>
      <c r="G127" s="44"/>
      <c r="H127" s="44">
        <f>H115*(1+H$4)</f>
        <v>97.398372000000009</v>
      </c>
      <c r="I127" s="44">
        <f>I115*(1+I$4)</f>
        <v>118.46832431999999</v>
      </c>
      <c r="J127" s="44">
        <f>J115*(1+J$4)</f>
        <v>80.046824579999992</v>
      </c>
      <c r="K127" s="44"/>
      <c r="L127" s="44"/>
      <c r="M127" s="44"/>
      <c r="N127" s="44"/>
    </row>
    <row r="128" spans="1:22" x14ac:dyDescent="0.2">
      <c r="A128" s="54">
        <v>44958</v>
      </c>
      <c r="B128" s="44">
        <f t="shared" ref="B128:B191" si="2">B116*(1+B$4)</f>
        <v>6.0365742782431111</v>
      </c>
      <c r="C128" s="44">
        <f t="shared" ref="C128:C191" si="3">D128-B128</f>
        <v>3.0455285439600006</v>
      </c>
      <c r="D128" s="44">
        <f t="shared" ref="D128:D191" si="4">D116*(1+D$4)</f>
        <v>9.0821028222031117</v>
      </c>
      <c r="E128" s="44"/>
      <c r="F128" s="44"/>
      <c r="G128" s="44"/>
      <c r="H128" s="44">
        <f t="shared" ref="H128:J143" si="5">H116*(1+H$4)</f>
        <v>78.665255999999999</v>
      </c>
      <c r="I128" s="44">
        <f t="shared" si="5"/>
        <v>85.934649120000003</v>
      </c>
      <c r="J128" s="44">
        <f t="shared" si="5"/>
        <v>72.056305740000013</v>
      </c>
      <c r="K128" s="44"/>
      <c r="L128" s="44"/>
      <c r="M128" s="44"/>
      <c r="N128" s="44"/>
    </row>
    <row r="129" spans="1:14" x14ac:dyDescent="0.2">
      <c r="A129" s="54">
        <v>44986</v>
      </c>
      <c r="B129" s="44">
        <f t="shared" si="2"/>
        <v>5.6814816736405742</v>
      </c>
      <c r="C129" s="44">
        <f t="shared" si="3"/>
        <v>0.67678412087999984</v>
      </c>
      <c r="D129" s="44">
        <f t="shared" si="4"/>
        <v>6.3582657945205741</v>
      </c>
      <c r="E129" s="44"/>
      <c r="F129" s="44"/>
      <c r="G129" s="44"/>
      <c r="H129" s="44">
        <f t="shared" si="5"/>
        <v>55.542264000000003</v>
      </c>
      <c r="I129" s="44">
        <f t="shared" si="5"/>
        <v>60.488133840000003</v>
      </c>
      <c r="J129" s="44">
        <f t="shared" si="5"/>
        <v>50.699696699999997</v>
      </c>
      <c r="K129" s="44"/>
      <c r="L129" s="44"/>
      <c r="M129" s="44"/>
      <c r="N129" s="44"/>
    </row>
    <row r="130" spans="1:14" x14ac:dyDescent="0.2">
      <c r="A130" s="54">
        <v>45017</v>
      </c>
      <c r="B130" s="44">
        <f t="shared" si="2"/>
        <v>5.3263890690380373</v>
      </c>
      <c r="C130" s="44">
        <f t="shared" si="3"/>
        <v>0.23645407950000052</v>
      </c>
      <c r="D130" s="44">
        <f t="shared" si="4"/>
        <v>5.5628431485380379</v>
      </c>
      <c r="E130" s="44"/>
      <c r="F130" s="44"/>
      <c r="G130" s="44"/>
      <c r="H130" s="44">
        <f t="shared" si="5"/>
        <v>50.643102000000006</v>
      </c>
      <c r="I130" s="44">
        <f t="shared" si="5"/>
        <v>56.550712500000003</v>
      </c>
      <c r="J130" s="44">
        <f t="shared" si="5"/>
        <v>45.475849320000002</v>
      </c>
      <c r="K130" s="44"/>
      <c r="L130" s="44"/>
      <c r="M130" s="44"/>
      <c r="N130" s="44"/>
    </row>
    <row r="131" spans="1:14" x14ac:dyDescent="0.2">
      <c r="A131" s="54">
        <v>45047</v>
      </c>
      <c r="B131" s="44">
        <f t="shared" si="2"/>
        <v>5.6814816736405742</v>
      </c>
      <c r="C131" s="44">
        <f t="shared" si="3"/>
        <v>0.2469631497</v>
      </c>
      <c r="D131" s="44">
        <f t="shared" si="4"/>
        <v>5.9284448233405742</v>
      </c>
      <c r="E131" s="44"/>
      <c r="F131" s="44"/>
      <c r="G131" s="44"/>
      <c r="H131" s="44">
        <f t="shared" si="5"/>
        <v>55.061742000000002</v>
      </c>
      <c r="I131" s="44">
        <f t="shared" si="5"/>
        <v>63.905404140000002</v>
      </c>
      <c r="J131" s="44">
        <f t="shared" si="5"/>
        <v>47.122724999999996</v>
      </c>
      <c r="K131" s="44"/>
      <c r="L131" s="44"/>
      <c r="M131" s="44"/>
      <c r="N131" s="44"/>
    </row>
    <row r="132" spans="1:14" x14ac:dyDescent="0.2">
      <c r="A132" s="54">
        <v>45078</v>
      </c>
      <c r="B132" s="44">
        <f t="shared" si="2"/>
        <v>5.8235187154815868</v>
      </c>
      <c r="C132" s="44">
        <f t="shared" si="3"/>
        <v>0.25011587076000019</v>
      </c>
      <c r="D132" s="44">
        <f t="shared" si="4"/>
        <v>6.073634586241587</v>
      </c>
      <c r="E132" s="44"/>
      <c r="F132" s="44"/>
      <c r="G132" s="44"/>
      <c r="H132" s="44">
        <f t="shared" si="5"/>
        <v>57.744852000000002</v>
      </c>
      <c r="I132" s="44">
        <f t="shared" si="5"/>
        <v>67.646660100000005</v>
      </c>
      <c r="J132" s="44">
        <f t="shared" si="5"/>
        <v>48.272580179999999</v>
      </c>
      <c r="K132" s="44"/>
      <c r="L132" s="44"/>
      <c r="M132" s="44"/>
      <c r="N132" s="44"/>
    </row>
    <row r="133" spans="1:14" x14ac:dyDescent="0.2">
      <c r="A133" s="54">
        <v>45108</v>
      </c>
      <c r="B133" s="44">
        <f t="shared" si="2"/>
        <v>6.0365742782431111</v>
      </c>
      <c r="C133" s="44">
        <f t="shared" si="3"/>
        <v>0.2564213128799997</v>
      </c>
      <c r="D133" s="44">
        <f t="shared" si="4"/>
        <v>6.2929955911231108</v>
      </c>
      <c r="E133" s="44"/>
      <c r="F133" s="44"/>
      <c r="G133" s="44"/>
      <c r="H133" s="44">
        <f t="shared" si="5"/>
        <v>65.175960000000003</v>
      </c>
      <c r="I133" s="44">
        <f t="shared" si="5"/>
        <v>82.598597339999998</v>
      </c>
      <c r="J133" s="44">
        <f t="shared" si="5"/>
        <v>50.827649579999999</v>
      </c>
      <c r="K133" s="44"/>
      <c r="L133" s="44"/>
      <c r="M133" s="44"/>
      <c r="N133" s="44"/>
    </row>
    <row r="134" spans="1:14" x14ac:dyDescent="0.2">
      <c r="A134" s="54">
        <v>45139</v>
      </c>
      <c r="B134" s="44">
        <f t="shared" si="2"/>
        <v>6.0365742782431111</v>
      </c>
      <c r="C134" s="44">
        <f t="shared" si="3"/>
        <v>0.26272675500000098</v>
      </c>
      <c r="D134" s="44">
        <f t="shared" si="4"/>
        <v>6.2993010332431121</v>
      </c>
      <c r="E134" s="44"/>
      <c r="F134" s="44"/>
      <c r="G134" s="44"/>
      <c r="H134" s="44">
        <f t="shared" si="5"/>
        <v>57.233322000000001</v>
      </c>
      <c r="I134" s="44">
        <f t="shared" si="5"/>
        <v>64.57858272</v>
      </c>
      <c r="J134" s="44">
        <f t="shared" si="5"/>
        <v>50.043858120000003</v>
      </c>
      <c r="K134" s="44"/>
      <c r="L134" s="44"/>
      <c r="M134" s="44"/>
      <c r="N134" s="44"/>
    </row>
    <row r="135" spans="1:14" x14ac:dyDescent="0.2">
      <c r="A135" s="54">
        <v>45170</v>
      </c>
      <c r="B135" s="44">
        <f t="shared" si="2"/>
        <v>5.6814816736405742</v>
      </c>
      <c r="C135" s="44">
        <f t="shared" si="3"/>
        <v>0.25852312692000101</v>
      </c>
      <c r="D135" s="44">
        <f t="shared" si="4"/>
        <v>5.9400048005605752</v>
      </c>
      <c r="E135" s="44"/>
      <c r="F135" s="44"/>
      <c r="G135" s="44"/>
      <c r="H135" s="44">
        <f t="shared" si="5"/>
        <v>50.930028</v>
      </c>
      <c r="I135" s="44">
        <f t="shared" si="5"/>
        <v>54.334501380000006</v>
      </c>
      <c r="J135" s="44">
        <f t="shared" si="5"/>
        <v>47.58214014</v>
      </c>
      <c r="K135" s="44"/>
      <c r="L135" s="44"/>
      <c r="M135" s="44"/>
      <c r="N135" s="44"/>
    </row>
    <row r="136" spans="1:14" x14ac:dyDescent="0.2">
      <c r="A136" s="54">
        <v>45200</v>
      </c>
      <c r="B136" s="44">
        <f t="shared" si="2"/>
        <v>5.3263890690380373</v>
      </c>
      <c r="C136" s="44">
        <f t="shared" si="3"/>
        <v>0.25852312692000101</v>
      </c>
      <c r="D136" s="44">
        <f t="shared" si="4"/>
        <v>5.5849121959580383</v>
      </c>
      <c r="E136" s="44"/>
      <c r="F136" s="44"/>
      <c r="G136" s="44"/>
      <c r="H136" s="44">
        <f t="shared" si="5"/>
        <v>48.610548000000001</v>
      </c>
      <c r="I136" s="44">
        <f t="shared" si="5"/>
        <v>51.979199999999999</v>
      </c>
      <c r="J136" s="44">
        <f t="shared" si="5"/>
        <v>45.477249780000001</v>
      </c>
      <c r="K136" s="44"/>
      <c r="L136" s="44"/>
      <c r="M136" s="44"/>
      <c r="N136" s="44"/>
    </row>
    <row r="137" spans="1:14" x14ac:dyDescent="0.2">
      <c r="A137" s="54">
        <v>45231</v>
      </c>
      <c r="B137" s="44">
        <f t="shared" si="2"/>
        <v>5.6814816736405742</v>
      </c>
      <c r="C137" s="44">
        <f t="shared" si="3"/>
        <v>0.38741687292299964</v>
      </c>
      <c r="D137" s="44">
        <f t="shared" si="4"/>
        <v>6.0688985465635739</v>
      </c>
      <c r="E137" s="44"/>
      <c r="F137" s="44"/>
      <c r="G137" s="44"/>
      <c r="H137" s="44">
        <f t="shared" si="5"/>
        <v>54.824286000000001</v>
      </c>
      <c r="I137" s="44">
        <f t="shared" si="5"/>
        <v>59.721724200000004</v>
      </c>
      <c r="J137" s="44">
        <f t="shared" si="5"/>
        <v>50.098352639999995</v>
      </c>
      <c r="K137" s="44"/>
      <c r="L137" s="44"/>
      <c r="M137" s="44"/>
      <c r="N137" s="44"/>
    </row>
    <row r="138" spans="1:14" x14ac:dyDescent="0.2">
      <c r="A138" s="54">
        <v>45261</v>
      </c>
      <c r="B138" s="44">
        <f t="shared" si="2"/>
        <v>6.0365742782431111</v>
      </c>
      <c r="C138" s="44">
        <f t="shared" si="3"/>
        <v>1.9593741025092006</v>
      </c>
      <c r="D138" s="44">
        <f t="shared" si="4"/>
        <v>7.9959483807523117</v>
      </c>
      <c r="E138" s="44"/>
      <c r="F138" s="44"/>
      <c r="G138" s="44"/>
      <c r="H138" s="44">
        <f t="shared" si="5"/>
        <v>75.180120000000002</v>
      </c>
      <c r="I138" s="44">
        <f t="shared" si="5"/>
        <v>86.23697202000001</v>
      </c>
      <c r="J138" s="44">
        <f t="shared" si="5"/>
        <v>65.251195199999998</v>
      </c>
      <c r="K138" s="44"/>
      <c r="L138" s="44"/>
      <c r="M138" s="44"/>
      <c r="N138" s="44"/>
    </row>
    <row r="139" spans="1:14" x14ac:dyDescent="0.2">
      <c r="A139" s="54">
        <v>45292</v>
      </c>
      <c r="B139" s="44">
        <f t="shared" si="2"/>
        <v>6.1573057638079733</v>
      </c>
      <c r="C139" s="44">
        <f t="shared" si="3"/>
        <v>3.7399468846355992</v>
      </c>
      <c r="D139" s="44">
        <f t="shared" si="4"/>
        <v>9.8972526484435726</v>
      </c>
      <c r="E139" s="44"/>
      <c r="F139" s="44"/>
      <c r="G139" s="44"/>
      <c r="H139" s="44">
        <f t="shared" si="5"/>
        <v>99.346339440000008</v>
      </c>
      <c r="I139" s="44">
        <f t="shared" si="5"/>
        <v>120.83769080639999</v>
      </c>
      <c r="J139" s="44">
        <f t="shared" si="5"/>
        <v>81.647761071599987</v>
      </c>
      <c r="K139" s="44"/>
      <c r="L139" s="44"/>
      <c r="M139" s="44"/>
      <c r="N139" s="44"/>
    </row>
    <row r="140" spans="1:14" x14ac:dyDescent="0.2">
      <c r="A140" s="54">
        <v>45323</v>
      </c>
      <c r="B140" s="44">
        <f t="shared" si="2"/>
        <v>6.1573057638079733</v>
      </c>
      <c r="C140" s="44">
        <f t="shared" si="3"/>
        <v>3.1064391148392003</v>
      </c>
      <c r="D140" s="44">
        <f t="shared" si="4"/>
        <v>9.2637448786471737</v>
      </c>
      <c r="E140" s="44"/>
      <c r="F140" s="44"/>
      <c r="G140" s="44"/>
      <c r="H140" s="44">
        <f t="shared" si="5"/>
        <v>80.23856112</v>
      </c>
      <c r="I140" s="44">
        <f t="shared" si="5"/>
        <v>87.653342102400003</v>
      </c>
      <c r="J140" s="44">
        <f t="shared" si="5"/>
        <v>73.497431854800013</v>
      </c>
      <c r="K140" s="44"/>
      <c r="L140" s="44"/>
      <c r="M140" s="44"/>
      <c r="N140" s="44"/>
    </row>
    <row r="141" spans="1:14" x14ac:dyDescent="0.2">
      <c r="A141" s="54">
        <v>45352</v>
      </c>
      <c r="B141" s="44">
        <f t="shared" si="2"/>
        <v>5.7951113071133857</v>
      </c>
      <c r="C141" s="44">
        <f t="shared" si="3"/>
        <v>0.69031980329759968</v>
      </c>
      <c r="D141" s="44">
        <f t="shared" si="4"/>
        <v>6.4854311104109854</v>
      </c>
      <c r="E141" s="44"/>
      <c r="F141" s="44"/>
      <c r="G141" s="44"/>
      <c r="H141" s="44">
        <f t="shared" si="5"/>
        <v>56.653109280000002</v>
      </c>
      <c r="I141" s="44">
        <f t="shared" si="5"/>
        <v>61.697896516800007</v>
      </c>
      <c r="J141" s="44">
        <f t="shared" si="5"/>
        <v>51.713690633999995</v>
      </c>
      <c r="K141" s="44"/>
      <c r="L141" s="44"/>
      <c r="M141" s="44"/>
      <c r="N141" s="44"/>
    </row>
    <row r="142" spans="1:14" x14ac:dyDescent="0.2">
      <c r="A142" s="54">
        <v>45383</v>
      </c>
      <c r="B142" s="44">
        <f t="shared" si="2"/>
        <v>5.4329168504187981</v>
      </c>
      <c r="C142" s="44">
        <f t="shared" si="3"/>
        <v>0.24118316109000038</v>
      </c>
      <c r="D142" s="44">
        <f t="shared" si="4"/>
        <v>5.6741000115087985</v>
      </c>
      <c r="E142" s="44"/>
      <c r="F142" s="44"/>
      <c r="G142" s="44"/>
      <c r="H142" s="44">
        <f t="shared" si="5"/>
        <v>51.655964040000008</v>
      </c>
      <c r="I142" s="44">
        <f t="shared" si="5"/>
        <v>57.681726750000003</v>
      </c>
      <c r="J142" s="44">
        <f t="shared" si="5"/>
        <v>46.385366306400002</v>
      </c>
      <c r="K142" s="44"/>
      <c r="L142" s="44"/>
      <c r="M142" s="44"/>
      <c r="N142" s="44"/>
    </row>
    <row r="143" spans="1:14" x14ac:dyDescent="0.2">
      <c r="A143" s="54">
        <v>45413</v>
      </c>
      <c r="B143" s="44">
        <f t="shared" si="2"/>
        <v>5.7951113071133857</v>
      </c>
      <c r="C143" s="44">
        <f t="shared" si="3"/>
        <v>0.25190241269400016</v>
      </c>
      <c r="D143" s="44">
        <f t="shared" si="4"/>
        <v>6.0470137198073859</v>
      </c>
      <c r="E143" s="44"/>
      <c r="F143" s="44"/>
      <c r="G143" s="44"/>
      <c r="H143" s="44">
        <f t="shared" si="5"/>
        <v>56.162976840000006</v>
      </c>
      <c r="I143" s="44">
        <f t="shared" si="5"/>
        <v>65.183512222800005</v>
      </c>
      <c r="J143" s="44">
        <f t="shared" si="5"/>
        <v>48.065179499999999</v>
      </c>
      <c r="K143" s="44"/>
      <c r="L143" s="44"/>
      <c r="M143" s="44"/>
      <c r="N143" s="44"/>
    </row>
    <row r="144" spans="1:14" x14ac:dyDescent="0.2">
      <c r="A144" s="54">
        <v>45444</v>
      </c>
      <c r="B144" s="44">
        <f t="shared" si="2"/>
        <v>5.9399890897912186</v>
      </c>
      <c r="C144" s="44">
        <f t="shared" si="3"/>
        <v>0.25511818817520027</v>
      </c>
      <c r="D144" s="44">
        <f t="shared" si="4"/>
        <v>6.1951072779664189</v>
      </c>
      <c r="E144" s="44"/>
      <c r="F144" s="44"/>
      <c r="G144" s="44"/>
      <c r="H144" s="44">
        <f t="shared" ref="H144:J159" si="6">H132*(1+H$4)</f>
        <v>58.899749040000003</v>
      </c>
      <c r="I144" s="44">
        <f t="shared" si="6"/>
        <v>68.999593302000008</v>
      </c>
      <c r="J144" s="44">
        <f t="shared" si="6"/>
        <v>49.2380317836</v>
      </c>
      <c r="K144" s="44"/>
      <c r="L144" s="44"/>
      <c r="M144" s="44"/>
      <c r="N144" s="44"/>
    </row>
    <row r="145" spans="1:14" x14ac:dyDescent="0.2">
      <c r="A145" s="54">
        <v>45474</v>
      </c>
      <c r="B145" s="44">
        <f t="shared" si="2"/>
        <v>6.1573057638079733</v>
      </c>
      <c r="C145" s="44">
        <f t="shared" si="3"/>
        <v>0.2615497391375996</v>
      </c>
      <c r="D145" s="44">
        <f t="shared" si="4"/>
        <v>6.4188555029455729</v>
      </c>
      <c r="E145" s="44"/>
      <c r="F145" s="44"/>
      <c r="G145" s="44"/>
      <c r="H145" s="44">
        <f t="shared" si="6"/>
        <v>66.4794792</v>
      </c>
      <c r="I145" s="44">
        <f t="shared" si="6"/>
        <v>84.250569286800001</v>
      </c>
      <c r="J145" s="44">
        <f t="shared" si="6"/>
        <v>51.8442025716</v>
      </c>
      <c r="K145" s="44"/>
      <c r="L145" s="44"/>
      <c r="M145" s="44"/>
      <c r="N145" s="44"/>
    </row>
    <row r="146" spans="1:14" x14ac:dyDescent="0.2">
      <c r="A146" s="54">
        <v>45505</v>
      </c>
      <c r="B146" s="44">
        <f t="shared" si="2"/>
        <v>6.1573057638079733</v>
      </c>
      <c r="C146" s="44">
        <f t="shared" si="3"/>
        <v>0.26798129010000071</v>
      </c>
      <c r="D146" s="44">
        <f t="shared" si="4"/>
        <v>6.4252870539079741</v>
      </c>
      <c r="E146" s="44"/>
      <c r="F146" s="44"/>
      <c r="G146" s="44"/>
      <c r="H146" s="44">
        <f t="shared" si="6"/>
        <v>58.377988440000003</v>
      </c>
      <c r="I146" s="44">
        <f t="shared" si="6"/>
        <v>65.870154374400002</v>
      </c>
      <c r="J146" s="44">
        <f t="shared" si="6"/>
        <v>51.044735282400005</v>
      </c>
      <c r="K146" s="44"/>
      <c r="L146" s="44"/>
      <c r="M146" s="44"/>
      <c r="N146" s="44"/>
    </row>
    <row r="147" spans="1:14" x14ac:dyDescent="0.2">
      <c r="A147" s="54">
        <v>45536</v>
      </c>
      <c r="B147" s="44">
        <f t="shared" si="2"/>
        <v>5.7951113071133857</v>
      </c>
      <c r="C147" s="44">
        <f t="shared" si="3"/>
        <v>0.26369358945840116</v>
      </c>
      <c r="D147" s="44">
        <f t="shared" si="4"/>
        <v>6.0588048965717869</v>
      </c>
      <c r="E147" s="44"/>
      <c r="F147" s="44"/>
      <c r="G147" s="44"/>
      <c r="H147" s="44">
        <f t="shared" si="6"/>
        <v>51.948628560000003</v>
      </c>
      <c r="I147" s="44">
        <f t="shared" si="6"/>
        <v>55.421191407600006</v>
      </c>
      <c r="J147" s="44">
        <f t="shared" si="6"/>
        <v>48.533782942800002</v>
      </c>
      <c r="K147" s="44"/>
      <c r="L147" s="44"/>
      <c r="M147" s="44"/>
      <c r="N147" s="44"/>
    </row>
    <row r="148" spans="1:14" x14ac:dyDescent="0.2">
      <c r="A148" s="54">
        <v>45566</v>
      </c>
      <c r="B148" s="44">
        <f t="shared" si="2"/>
        <v>5.4329168504187981</v>
      </c>
      <c r="C148" s="44">
        <f t="shared" si="3"/>
        <v>0.26369358945840116</v>
      </c>
      <c r="D148" s="44">
        <f t="shared" si="4"/>
        <v>5.6966104398771993</v>
      </c>
      <c r="E148" s="44"/>
      <c r="F148" s="44"/>
      <c r="G148" s="44"/>
      <c r="H148" s="44">
        <f t="shared" si="6"/>
        <v>49.58275896</v>
      </c>
      <c r="I148" s="44">
        <f t="shared" si="6"/>
        <v>53.018783999999997</v>
      </c>
      <c r="J148" s="44">
        <f t="shared" si="6"/>
        <v>46.386794775600002</v>
      </c>
      <c r="K148" s="44"/>
      <c r="L148" s="44"/>
      <c r="M148" s="44"/>
      <c r="N148" s="44"/>
    </row>
    <row r="149" spans="1:14" x14ac:dyDescent="0.2">
      <c r="A149" s="54">
        <v>45597</v>
      </c>
      <c r="B149" s="44">
        <f t="shared" si="2"/>
        <v>5.7951113071133857</v>
      </c>
      <c r="C149" s="44">
        <f t="shared" si="3"/>
        <v>0.39516521038145935</v>
      </c>
      <c r="D149" s="44">
        <f t="shared" si="4"/>
        <v>6.1902765174948451</v>
      </c>
      <c r="E149" s="44"/>
      <c r="F149" s="44"/>
      <c r="G149" s="44"/>
      <c r="H149" s="44">
        <f t="shared" si="6"/>
        <v>55.920771720000005</v>
      </c>
      <c r="I149" s="44">
        <f t="shared" si="6"/>
        <v>60.916158684000003</v>
      </c>
      <c r="J149" s="44">
        <f t="shared" si="6"/>
        <v>51.100319692799992</v>
      </c>
      <c r="K149" s="44"/>
      <c r="L149" s="44"/>
      <c r="M149" s="44"/>
      <c r="N149" s="44"/>
    </row>
    <row r="150" spans="1:14" x14ac:dyDescent="0.2">
      <c r="A150" s="54">
        <v>45627</v>
      </c>
      <c r="B150" s="44">
        <f t="shared" si="2"/>
        <v>6.1573057638079733</v>
      </c>
      <c r="C150" s="44">
        <f t="shared" si="3"/>
        <v>1.9985615845593854</v>
      </c>
      <c r="D150" s="44">
        <f t="shared" si="4"/>
        <v>8.1558673483673587</v>
      </c>
      <c r="E150" s="44"/>
      <c r="F150" s="44"/>
      <c r="G150" s="44"/>
      <c r="H150" s="44">
        <f t="shared" si="6"/>
        <v>76.683722400000008</v>
      </c>
      <c r="I150" s="44">
        <f t="shared" si="6"/>
        <v>87.961711460400011</v>
      </c>
      <c r="J150" s="44">
        <f t="shared" si="6"/>
        <v>66.556219103999993</v>
      </c>
      <c r="K150" s="44"/>
      <c r="L150" s="44"/>
      <c r="M150" s="44"/>
      <c r="N150" s="44"/>
    </row>
    <row r="151" spans="1:14" x14ac:dyDescent="0.2">
      <c r="A151" s="54">
        <v>45658</v>
      </c>
      <c r="B151" s="44">
        <f t="shared" si="2"/>
        <v>6.2804518790841328</v>
      </c>
      <c r="C151" s="44">
        <f t="shared" si="3"/>
        <v>3.8147458223283106</v>
      </c>
      <c r="D151" s="44">
        <f t="shared" si="4"/>
        <v>10.095197701412443</v>
      </c>
      <c r="E151" s="44"/>
      <c r="F151" s="44"/>
      <c r="G151" s="44"/>
      <c r="H151" s="44">
        <f t="shared" si="6"/>
        <v>101.33326622880001</v>
      </c>
      <c r="I151" s="44">
        <f t="shared" si="6"/>
        <v>123.254444622528</v>
      </c>
      <c r="J151" s="44">
        <f t="shared" si="6"/>
        <v>83.280716293031986</v>
      </c>
      <c r="K151" s="44"/>
      <c r="L151" s="44"/>
      <c r="M151" s="44"/>
      <c r="N151" s="44"/>
    </row>
    <row r="152" spans="1:14" x14ac:dyDescent="0.2">
      <c r="A152" s="54">
        <v>45689</v>
      </c>
      <c r="B152" s="44">
        <f t="shared" si="2"/>
        <v>6.2804518790841328</v>
      </c>
      <c r="C152" s="44">
        <f t="shared" si="3"/>
        <v>3.1685678971359845</v>
      </c>
      <c r="D152" s="44">
        <f t="shared" si="4"/>
        <v>9.4490197762201174</v>
      </c>
      <c r="E152" s="44"/>
      <c r="F152" s="44"/>
      <c r="G152" s="44"/>
      <c r="H152" s="44">
        <f t="shared" si="6"/>
        <v>81.843332342400004</v>
      </c>
      <c r="I152" s="44">
        <f t="shared" si="6"/>
        <v>89.406408944448003</v>
      </c>
      <c r="J152" s="44">
        <f t="shared" si="6"/>
        <v>74.967380491896009</v>
      </c>
      <c r="K152" s="44"/>
      <c r="L152" s="44"/>
      <c r="M152" s="44"/>
      <c r="N152" s="44"/>
    </row>
    <row r="153" spans="1:14" x14ac:dyDescent="0.2">
      <c r="A153" s="54">
        <v>45717</v>
      </c>
      <c r="B153" s="44">
        <f t="shared" si="2"/>
        <v>5.9110135332556535</v>
      </c>
      <c r="C153" s="44">
        <f t="shared" si="3"/>
        <v>0.70412619936355192</v>
      </c>
      <c r="D153" s="44">
        <f t="shared" si="4"/>
        <v>6.6151397326192054</v>
      </c>
      <c r="E153" s="44"/>
      <c r="F153" s="44"/>
      <c r="G153" s="44"/>
      <c r="H153" s="44">
        <f t="shared" si="6"/>
        <v>57.786171465600006</v>
      </c>
      <c r="I153" s="44">
        <f t="shared" si="6"/>
        <v>62.931854447136011</v>
      </c>
      <c r="J153" s="44">
        <f t="shared" si="6"/>
        <v>52.747964446679994</v>
      </c>
      <c r="K153" s="44"/>
      <c r="L153" s="44"/>
      <c r="M153" s="44"/>
      <c r="N153" s="44"/>
    </row>
    <row r="154" spans="1:14" x14ac:dyDescent="0.2">
      <c r="A154" s="54">
        <v>45748</v>
      </c>
      <c r="B154" s="44">
        <f t="shared" si="2"/>
        <v>5.5415751874271741</v>
      </c>
      <c r="C154" s="44">
        <f t="shared" si="3"/>
        <v>0.24600682431180054</v>
      </c>
      <c r="D154" s="44">
        <f t="shared" si="4"/>
        <v>5.7875820117389747</v>
      </c>
      <c r="E154" s="44"/>
      <c r="F154" s="44"/>
      <c r="G154" s="44"/>
      <c r="H154" s="44">
        <f t="shared" si="6"/>
        <v>52.689083320800009</v>
      </c>
      <c r="I154" s="44">
        <f t="shared" si="6"/>
        <v>58.835361285000005</v>
      </c>
      <c r="J154" s="44">
        <f t="shared" si="6"/>
        <v>47.313073632528003</v>
      </c>
      <c r="K154" s="44"/>
      <c r="L154" s="44"/>
      <c r="M154" s="44"/>
      <c r="N154" s="44"/>
    </row>
    <row r="155" spans="1:14" x14ac:dyDescent="0.2">
      <c r="A155" s="54">
        <v>45778</v>
      </c>
      <c r="B155" s="44">
        <f t="shared" si="2"/>
        <v>5.9110135332556535</v>
      </c>
      <c r="C155" s="44">
        <f t="shared" si="3"/>
        <v>0.25694046094788003</v>
      </c>
      <c r="D155" s="44">
        <f t="shared" si="4"/>
        <v>6.1679539942035335</v>
      </c>
      <c r="E155" s="44"/>
      <c r="F155" s="44"/>
      <c r="G155" s="44"/>
      <c r="H155" s="44">
        <f t="shared" si="6"/>
        <v>57.286236376800005</v>
      </c>
      <c r="I155" s="44">
        <f t="shared" si="6"/>
        <v>66.487182467256005</v>
      </c>
      <c r="J155" s="44">
        <f t="shared" si="6"/>
        <v>49.026483089999999</v>
      </c>
      <c r="K155" s="44"/>
      <c r="L155" s="44"/>
      <c r="M155" s="44"/>
      <c r="N155" s="44"/>
    </row>
    <row r="156" spans="1:14" x14ac:dyDescent="0.2">
      <c r="A156" s="54">
        <v>45809</v>
      </c>
      <c r="B156" s="44">
        <f t="shared" si="2"/>
        <v>6.0587888715870433</v>
      </c>
      <c r="C156" s="44">
        <f t="shared" si="3"/>
        <v>0.26022055193870397</v>
      </c>
      <c r="D156" s="44">
        <f t="shared" si="4"/>
        <v>6.3190094235257472</v>
      </c>
      <c r="E156" s="44"/>
      <c r="F156" s="44"/>
      <c r="G156" s="44"/>
      <c r="H156" s="44">
        <f t="shared" si="6"/>
        <v>60.077744020800004</v>
      </c>
      <c r="I156" s="44">
        <f t="shared" si="6"/>
        <v>70.379585168040009</v>
      </c>
      <c r="J156" s="44">
        <f t="shared" si="6"/>
        <v>50.222792419272004</v>
      </c>
      <c r="K156" s="44"/>
      <c r="L156" s="44"/>
      <c r="M156" s="44"/>
      <c r="N156" s="44"/>
    </row>
    <row r="157" spans="1:14" x14ac:dyDescent="0.2">
      <c r="A157" s="54">
        <v>45839</v>
      </c>
      <c r="B157" s="44">
        <f t="shared" si="2"/>
        <v>6.2804518790841328</v>
      </c>
      <c r="C157" s="44">
        <f t="shared" si="3"/>
        <v>0.26678073392035184</v>
      </c>
      <c r="D157" s="44">
        <f t="shared" si="4"/>
        <v>6.5472326130044847</v>
      </c>
      <c r="E157" s="44"/>
      <c r="F157" s="44"/>
      <c r="G157" s="44"/>
      <c r="H157" s="44">
        <f t="shared" si="6"/>
        <v>67.809068784000004</v>
      </c>
      <c r="I157" s="44">
        <f t="shared" si="6"/>
        <v>85.935580672536005</v>
      </c>
      <c r="J157" s="44">
        <f t="shared" si="6"/>
        <v>52.881086623032004</v>
      </c>
      <c r="K157" s="44"/>
      <c r="L157" s="44"/>
      <c r="M157" s="44"/>
      <c r="N157" s="44"/>
    </row>
    <row r="158" spans="1:14" x14ac:dyDescent="0.2">
      <c r="A158" s="54">
        <v>45870</v>
      </c>
      <c r="B158" s="44">
        <f t="shared" si="2"/>
        <v>6.2804518790841328</v>
      </c>
      <c r="C158" s="44">
        <f t="shared" si="3"/>
        <v>0.2733409159020006</v>
      </c>
      <c r="D158" s="44">
        <f t="shared" si="4"/>
        <v>6.5537927949861334</v>
      </c>
      <c r="E158" s="44"/>
      <c r="F158" s="44"/>
      <c r="G158" s="44"/>
      <c r="H158" s="44">
        <f t="shared" si="6"/>
        <v>59.545548208800007</v>
      </c>
      <c r="I158" s="44">
        <f t="shared" si="6"/>
        <v>67.187557461888005</v>
      </c>
      <c r="J158" s="44">
        <f t="shared" si="6"/>
        <v>52.065629988048009</v>
      </c>
      <c r="K158" s="44"/>
      <c r="L158" s="44"/>
      <c r="M158" s="44"/>
      <c r="N158" s="44"/>
    </row>
    <row r="159" spans="1:14" x14ac:dyDescent="0.2">
      <c r="A159" s="54">
        <v>45901</v>
      </c>
      <c r="B159" s="44">
        <f t="shared" si="2"/>
        <v>5.9110135332556535</v>
      </c>
      <c r="C159" s="44">
        <f t="shared" si="3"/>
        <v>0.26896746124756898</v>
      </c>
      <c r="D159" s="44">
        <f t="shared" si="4"/>
        <v>6.1799809945032225</v>
      </c>
      <c r="E159" s="44"/>
      <c r="F159" s="44"/>
      <c r="G159" s="44"/>
      <c r="H159" s="44">
        <f t="shared" si="6"/>
        <v>52.987601131200002</v>
      </c>
      <c r="I159" s="44">
        <f t="shared" si="6"/>
        <v>56.529615235752004</v>
      </c>
      <c r="J159" s="44">
        <f t="shared" si="6"/>
        <v>49.504458601656005</v>
      </c>
      <c r="K159" s="44"/>
      <c r="L159" s="44"/>
      <c r="M159" s="44"/>
      <c r="N159" s="44"/>
    </row>
    <row r="160" spans="1:14" x14ac:dyDescent="0.2">
      <c r="A160" s="54">
        <v>45931</v>
      </c>
      <c r="B160" s="44">
        <f t="shared" si="2"/>
        <v>5.5415751874271741</v>
      </c>
      <c r="C160" s="44">
        <f t="shared" si="3"/>
        <v>0.26896746124756898</v>
      </c>
      <c r="D160" s="44">
        <f t="shared" si="4"/>
        <v>5.8105426486747431</v>
      </c>
      <c r="E160" s="44"/>
      <c r="F160" s="44"/>
      <c r="G160" s="44"/>
      <c r="H160" s="44">
        <f t="shared" ref="H160:J175" si="7">H148*(1+H$4)</f>
        <v>50.574414139200002</v>
      </c>
      <c r="I160" s="44">
        <f t="shared" si="7"/>
        <v>54.079159679999997</v>
      </c>
      <c r="J160" s="44">
        <f t="shared" si="7"/>
        <v>47.314530671112003</v>
      </c>
      <c r="K160" s="44"/>
      <c r="L160" s="44"/>
      <c r="M160" s="44"/>
      <c r="N160" s="44"/>
    </row>
    <row r="161" spans="1:14" x14ac:dyDescent="0.2">
      <c r="A161" s="54">
        <v>45962</v>
      </c>
      <c r="B161" s="44">
        <f t="shared" si="2"/>
        <v>5.9110135332556535</v>
      </c>
      <c r="C161" s="44">
        <f t="shared" si="3"/>
        <v>0.40306851458908888</v>
      </c>
      <c r="D161" s="44">
        <f t="shared" si="4"/>
        <v>6.3140820478447424</v>
      </c>
      <c r="E161" s="44"/>
      <c r="F161" s="44"/>
      <c r="G161" s="44"/>
      <c r="H161" s="44">
        <f t="shared" si="7"/>
        <v>57.039187154400004</v>
      </c>
      <c r="I161" s="44">
        <f t="shared" si="7"/>
        <v>62.134481857680001</v>
      </c>
      <c r="J161" s="44">
        <f t="shared" si="7"/>
        <v>52.122326086655995</v>
      </c>
      <c r="K161" s="44"/>
      <c r="L161" s="44"/>
      <c r="M161" s="44"/>
      <c r="N161" s="44"/>
    </row>
    <row r="162" spans="1:14" x14ac:dyDescent="0.2">
      <c r="A162" s="54">
        <v>45992</v>
      </c>
      <c r="B162" s="44">
        <f t="shared" si="2"/>
        <v>6.2804518790841328</v>
      </c>
      <c r="C162" s="44">
        <f t="shared" si="3"/>
        <v>2.0385328162505729</v>
      </c>
      <c r="D162" s="44">
        <f t="shared" si="4"/>
        <v>8.3189846953347057</v>
      </c>
      <c r="E162" s="44"/>
      <c r="F162" s="44"/>
      <c r="G162" s="44"/>
      <c r="H162" s="44">
        <f t="shared" si="7"/>
        <v>78.217396848000007</v>
      </c>
      <c r="I162" s="44">
        <f t="shared" si="7"/>
        <v>89.720945689608016</v>
      </c>
      <c r="J162" s="44">
        <f t="shared" si="7"/>
        <v>67.887343486079999</v>
      </c>
      <c r="K162" s="44"/>
      <c r="L162" s="44"/>
      <c r="M162" s="44"/>
      <c r="N162" s="44"/>
    </row>
    <row r="163" spans="1:14" x14ac:dyDescent="0.2">
      <c r="A163" s="54">
        <v>46023</v>
      </c>
      <c r="B163" s="44">
        <f t="shared" si="2"/>
        <v>6.4060609166658153</v>
      </c>
      <c r="C163" s="44">
        <f t="shared" si="3"/>
        <v>3.891040738774878</v>
      </c>
      <c r="D163" s="44">
        <f t="shared" si="4"/>
        <v>10.297101655440693</v>
      </c>
      <c r="E163" s="44"/>
      <c r="F163" s="44"/>
      <c r="G163" s="44"/>
      <c r="H163" s="44">
        <f t="shared" si="7"/>
        <v>103.35993155337601</v>
      </c>
      <c r="I163" s="44">
        <f t="shared" si="7"/>
        <v>125.71953351497856</v>
      </c>
      <c r="J163" s="44">
        <f t="shared" si="7"/>
        <v>84.946330618892631</v>
      </c>
      <c r="K163" s="44"/>
      <c r="L163" s="44"/>
      <c r="M163" s="44"/>
      <c r="N163" s="44"/>
    </row>
    <row r="164" spans="1:14" x14ac:dyDescent="0.2">
      <c r="A164" s="54">
        <v>46054</v>
      </c>
      <c r="B164" s="44">
        <f t="shared" si="2"/>
        <v>6.4060609166658153</v>
      </c>
      <c r="C164" s="44">
        <f t="shared" si="3"/>
        <v>3.2319392550787054</v>
      </c>
      <c r="D164" s="44">
        <f t="shared" si="4"/>
        <v>9.6380001717445207</v>
      </c>
      <c r="E164" s="44"/>
      <c r="F164" s="44"/>
      <c r="G164" s="44"/>
      <c r="H164" s="44">
        <f t="shared" si="7"/>
        <v>83.480198989248009</v>
      </c>
      <c r="I164" s="44">
        <f t="shared" si="7"/>
        <v>91.194537123336971</v>
      </c>
      <c r="J164" s="44">
        <f t="shared" si="7"/>
        <v>76.466728101733935</v>
      </c>
      <c r="K164" s="44"/>
      <c r="L164" s="44"/>
      <c r="M164" s="44"/>
      <c r="N164" s="44"/>
    </row>
    <row r="165" spans="1:14" x14ac:dyDescent="0.2">
      <c r="A165" s="54">
        <v>46082</v>
      </c>
      <c r="B165" s="44">
        <f t="shared" si="2"/>
        <v>6.0292338039207669</v>
      </c>
      <c r="C165" s="44">
        <f t="shared" si="3"/>
        <v>0.71820872335082253</v>
      </c>
      <c r="D165" s="44">
        <f t="shared" si="4"/>
        <v>6.7474425272715894</v>
      </c>
      <c r="E165" s="44"/>
      <c r="F165" s="44"/>
      <c r="G165" s="44"/>
      <c r="H165" s="44">
        <f t="shared" si="7"/>
        <v>58.941894894912011</v>
      </c>
      <c r="I165" s="44">
        <f t="shared" si="7"/>
        <v>64.190491536078738</v>
      </c>
      <c r="J165" s="44">
        <f t="shared" si="7"/>
        <v>53.802923735613597</v>
      </c>
      <c r="K165" s="44"/>
      <c r="L165" s="44"/>
      <c r="M165" s="44"/>
      <c r="N165" s="44"/>
    </row>
    <row r="166" spans="1:14" x14ac:dyDescent="0.2">
      <c r="A166" s="54">
        <v>46113</v>
      </c>
      <c r="B166" s="44">
        <f t="shared" si="2"/>
        <v>5.6524066911757176</v>
      </c>
      <c r="C166" s="44">
        <f t="shared" si="3"/>
        <v>0.25092696079803645</v>
      </c>
      <c r="D166" s="44">
        <f t="shared" si="4"/>
        <v>5.903333651973754</v>
      </c>
      <c r="E166" s="44"/>
      <c r="F166" s="44"/>
      <c r="G166" s="44"/>
      <c r="H166" s="44">
        <f t="shared" si="7"/>
        <v>53.742864987216009</v>
      </c>
      <c r="I166" s="44">
        <f t="shared" si="7"/>
        <v>60.012068510700004</v>
      </c>
      <c r="J166" s="44">
        <f t="shared" si="7"/>
        <v>48.259335105178565</v>
      </c>
      <c r="K166" s="44"/>
      <c r="L166" s="44"/>
      <c r="M166" s="44"/>
      <c r="N166" s="44"/>
    </row>
    <row r="167" spans="1:14" x14ac:dyDescent="0.2">
      <c r="A167" s="54">
        <v>46143</v>
      </c>
      <c r="B167" s="44">
        <f t="shared" si="2"/>
        <v>6.0292338039207669</v>
      </c>
      <c r="C167" s="44">
        <f t="shared" si="3"/>
        <v>0.2620792701668373</v>
      </c>
      <c r="D167" s="44">
        <f t="shared" si="4"/>
        <v>6.2913130740876042</v>
      </c>
      <c r="E167" s="44"/>
      <c r="F167" s="44"/>
      <c r="G167" s="44"/>
      <c r="H167" s="44">
        <f t="shared" si="7"/>
        <v>58.431961104336004</v>
      </c>
      <c r="I167" s="44">
        <f t="shared" si="7"/>
        <v>67.816926116601124</v>
      </c>
      <c r="J167" s="44">
        <f t="shared" si="7"/>
        <v>50.007012751799998</v>
      </c>
      <c r="K167" s="44"/>
      <c r="L167" s="44"/>
      <c r="M167" s="44"/>
      <c r="N167" s="44"/>
    </row>
    <row r="168" spans="1:14" x14ac:dyDescent="0.2">
      <c r="A168" s="54">
        <v>46174</v>
      </c>
      <c r="B168" s="44">
        <f t="shared" si="2"/>
        <v>6.1799646490187845</v>
      </c>
      <c r="C168" s="44">
        <f t="shared" si="3"/>
        <v>0.26542496297747764</v>
      </c>
      <c r="D168" s="44">
        <f t="shared" si="4"/>
        <v>6.4453896119962621</v>
      </c>
      <c r="E168" s="44"/>
      <c r="F168" s="44"/>
      <c r="G168" s="44"/>
      <c r="H168" s="44">
        <f t="shared" si="7"/>
        <v>61.279298901216002</v>
      </c>
      <c r="I168" s="44">
        <f t="shared" si="7"/>
        <v>71.787176871400817</v>
      </c>
      <c r="J168" s="44">
        <f t="shared" si="7"/>
        <v>51.227248267657444</v>
      </c>
      <c r="K168" s="44"/>
      <c r="L168" s="44"/>
      <c r="M168" s="44"/>
      <c r="N168" s="44"/>
    </row>
    <row r="169" spans="1:14" x14ac:dyDescent="0.2">
      <c r="A169" s="54">
        <v>46204</v>
      </c>
      <c r="B169" s="44">
        <f t="shared" si="2"/>
        <v>6.4060609166658153</v>
      </c>
      <c r="C169" s="44">
        <f t="shared" si="3"/>
        <v>0.27211634859875922</v>
      </c>
      <c r="D169" s="44">
        <f t="shared" si="4"/>
        <v>6.6781772652645746</v>
      </c>
      <c r="E169" s="44"/>
      <c r="F169" s="44"/>
      <c r="G169" s="44"/>
      <c r="H169" s="44">
        <f t="shared" si="7"/>
        <v>69.165250159679999</v>
      </c>
      <c r="I169" s="44">
        <f t="shared" si="7"/>
        <v>87.654292285986728</v>
      </c>
      <c r="J169" s="44">
        <f t="shared" si="7"/>
        <v>53.938708355492643</v>
      </c>
      <c r="K169" s="44"/>
      <c r="L169" s="44"/>
      <c r="M169" s="44"/>
      <c r="N169" s="44"/>
    </row>
    <row r="170" spans="1:14" x14ac:dyDescent="0.2">
      <c r="A170" s="54">
        <v>46235</v>
      </c>
      <c r="B170" s="44">
        <f t="shared" si="2"/>
        <v>6.4060609166658153</v>
      </c>
      <c r="C170" s="44">
        <f t="shared" si="3"/>
        <v>0.27880773422004079</v>
      </c>
      <c r="D170" s="44">
        <f t="shared" si="4"/>
        <v>6.6848686508858561</v>
      </c>
      <c r="E170" s="44"/>
      <c r="F170" s="44"/>
      <c r="G170" s="44"/>
      <c r="H170" s="44">
        <f t="shared" si="7"/>
        <v>60.736459172976005</v>
      </c>
      <c r="I170" s="44">
        <f t="shared" si="7"/>
        <v>68.531308611125766</v>
      </c>
      <c r="J170" s="44">
        <f t="shared" si="7"/>
        <v>53.106942587808973</v>
      </c>
      <c r="K170" s="44"/>
      <c r="L170" s="44"/>
      <c r="M170" s="44"/>
      <c r="N170" s="44"/>
    </row>
    <row r="171" spans="1:14" x14ac:dyDescent="0.2">
      <c r="A171" s="54">
        <v>46266</v>
      </c>
      <c r="B171" s="44">
        <f t="shared" si="2"/>
        <v>6.0292338039207669</v>
      </c>
      <c r="C171" s="44">
        <f t="shared" si="3"/>
        <v>0.27434681047251974</v>
      </c>
      <c r="D171" s="44">
        <f t="shared" si="4"/>
        <v>6.3035806143932867</v>
      </c>
      <c r="E171" s="44"/>
      <c r="F171" s="44"/>
      <c r="G171" s="44"/>
      <c r="H171" s="44">
        <f t="shared" si="7"/>
        <v>54.047353153824005</v>
      </c>
      <c r="I171" s="44">
        <f t="shared" si="7"/>
        <v>57.660207540467049</v>
      </c>
      <c r="J171" s="44">
        <f t="shared" si="7"/>
        <v>50.494547773689128</v>
      </c>
      <c r="K171" s="44"/>
      <c r="L171" s="44"/>
      <c r="M171" s="44"/>
      <c r="N171" s="44"/>
    </row>
    <row r="172" spans="1:14" x14ac:dyDescent="0.2">
      <c r="A172" s="54">
        <v>46296</v>
      </c>
      <c r="B172" s="44">
        <f t="shared" si="2"/>
        <v>5.6524066911757176</v>
      </c>
      <c r="C172" s="44">
        <f t="shared" si="3"/>
        <v>0.27434681047252063</v>
      </c>
      <c r="D172" s="44">
        <f t="shared" si="4"/>
        <v>5.9267535016482382</v>
      </c>
      <c r="E172" s="44"/>
      <c r="F172" s="44"/>
      <c r="G172" s="44"/>
      <c r="H172" s="44">
        <f t="shared" si="7"/>
        <v>51.585902421984002</v>
      </c>
      <c r="I172" s="44">
        <f t="shared" si="7"/>
        <v>55.1607428736</v>
      </c>
      <c r="J172" s="44">
        <f t="shared" si="7"/>
        <v>48.260821284534245</v>
      </c>
      <c r="K172" s="44"/>
      <c r="L172" s="44"/>
      <c r="M172" s="44"/>
      <c r="N172" s="44"/>
    </row>
    <row r="173" spans="1:14" x14ac:dyDescent="0.2">
      <c r="A173" s="54">
        <v>46327</v>
      </c>
      <c r="B173" s="44">
        <f t="shared" si="2"/>
        <v>6.0292338039207669</v>
      </c>
      <c r="C173" s="44">
        <f t="shared" si="3"/>
        <v>0.41112988488087066</v>
      </c>
      <c r="D173" s="44">
        <f t="shared" si="4"/>
        <v>6.4403636888016376</v>
      </c>
      <c r="E173" s="44"/>
      <c r="F173" s="44"/>
      <c r="G173" s="44"/>
      <c r="H173" s="44">
        <f t="shared" si="7"/>
        <v>58.179970897488005</v>
      </c>
      <c r="I173" s="44">
        <f t="shared" si="7"/>
        <v>63.377171494833604</v>
      </c>
      <c r="J173" s="44">
        <f t="shared" si="7"/>
        <v>53.164772608389114</v>
      </c>
      <c r="K173" s="44"/>
      <c r="L173" s="44"/>
      <c r="M173" s="44"/>
      <c r="N173" s="44"/>
    </row>
    <row r="174" spans="1:14" x14ac:dyDescent="0.2">
      <c r="A174" s="54">
        <v>46357</v>
      </c>
      <c r="B174" s="44">
        <f t="shared" si="2"/>
        <v>6.4060609166658153</v>
      </c>
      <c r="C174" s="44">
        <f t="shared" si="3"/>
        <v>2.0793034725755852</v>
      </c>
      <c r="D174" s="44">
        <f t="shared" si="4"/>
        <v>8.4853643892414006</v>
      </c>
      <c r="E174" s="44"/>
      <c r="F174" s="44"/>
      <c r="G174" s="44"/>
      <c r="H174" s="44">
        <f t="shared" si="7"/>
        <v>79.781744784960011</v>
      </c>
      <c r="I174" s="44">
        <f t="shared" si="7"/>
        <v>91.515364603400172</v>
      </c>
      <c r="J174" s="44">
        <f t="shared" si="7"/>
        <v>69.245090355801594</v>
      </c>
      <c r="K174" s="44"/>
      <c r="L174" s="44"/>
      <c r="M174" s="44"/>
      <c r="N174" s="44"/>
    </row>
    <row r="175" spans="1:14" x14ac:dyDescent="0.2">
      <c r="A175" s="54">
        <v>46388</v>
      </c>
      <c r="B175" s="44">
        <f t="shared" si="2"/>
        <v>6.5341821349991314</v>
      </c>
      <c r="C175" s="44">
        <f t="shared" si="3"/>
        <v>3.9688615535503757</v>
      </c>
      <c r="D175" s="44">
        <f t="shared" si="4"/>
        <v>10.503043688549507</v>
      </c>
      <c r="E175" s="44"/>
      <c r="F175" s="44"/>
      <c r="G175" s="44"/>
      <c r="H175" s="44">
        <f t="shared" si="7"/>
        <v>105.42713018444354</v>
      </c>
      <c r="I175" s="44">
        <f t="shared" si="7"/>
        <v>128.23392418527814</v>
      </c>
      <c r="J175" s="44">
        <f t="shared" si="7"/>
        <v>86.645257231270492</v>
      </c>
      <c r="K175" s="44"/>
      <c r="L175" s="44"/>
      <c r="M175" s="44"/>
      <c r="N175" s="44"/>
    </row>
    <row r="176" spans="1:14" x14ac:dyDescent="0.2">
      <c r="A176" s="54">
        <v>46419</v>
      </c>
      <c r="B176" s="44">
        <f t="shared" si="2"/>
        <v>6.5341821349991314</v>
      </c>
      <c r="C176" s="44">
        <f t="shared" si="3"/>
        <v>3.2965780401802807</v>
      </c>
      <c r="D176" s="44">
        <f t="shared" si="4"/>
        <v>9.830760175179412</v>
      </c>
      <c r="E176" s="44"/>
      <c r="F176" s="44"/>
      <c r="G176" s="44"/>
      <c r="H176" s="44">
        <f t="shared" ref="H176:J191" si="8">H164*(1+H$4)</f>
        <v>85.149802969032976</v>
      </c>
      <c r="I176" s="44">
        <f t="shared" si="8"/>
        <v>93.018427865803716</v>
      </c>
      <c r="J176" s="44">
        <f t="shared" si="8"/>
        <v>77.996062663768612</v>
      </c>
      <c r="K176" s="44"/>
      <c r="L176" s="44"/>
      <c r="M176" s="44"/>
      <c r="N176" s="44"/>
    </row>
    <row r="177" spans="1:14" x14ac:dyDescent="0.2">
      <c r="A177" s="54">
        <v>46447</v>
      </c>
      <c r="B177" s="44">
        <f t="shared" si="2"/>
        <v>6.1498184799991824</v>
      </c>
      <c r="C177" s="44">
        <f t="shared" si="3"/>
        <v>0.73257289781783896</v>
      </c>
      <c r="D177" s="44">
        <f t="shared" si="4"/>
        <v>6.8823913778170214</v>
      </c>
      <c r="E177" s="44"/>
      <c r="F177" s="44"/>
      <c r="G177" s="44"/>
      <c r="H177" s="44">
        <f t="shared" si="8"/>
        <v>60.120732792810252</v>
      </c>
      <c r="I177" s="44">
        <f t="shared" si="8"/>
        <v>65.474301366800319</v>
      </c>
      <c r="J177" s="44">
        <f t="shared" si="8"/>
        <v>54.878982210325873</v>
      </c>
      <c r="K177" s="44"/>
      <c r="L177" s="44"/>
      <c r="M177" s="44"/>
      <c r="N177" s="44"/>
    </row>
    <row r="178" spans="1:14" x14ac:dyDescent="0.2">
      <c r="A178" s="54">
        <v>46478</v>
      </c>
      <c r="B178" s="44">
        <f t="shared" si="2"/>
        <v>5.7654548249992317</v>
      </c>
      <c r="C178" s="44">
        <f t="shared" si="3"/>
        <v>0.25594550001399785</v>
      </c>
      <c r="D178" s="44">
        <f t="shared" si="4"/>
        <v>6.0214003250132295</v>
      </c>
      <c r="E178" s="44"/>
      <c r="F178" s="44"/>
      <c r="G178" s="44"/>
      <c r="H178" s="44">
        <f t="shared" si="8"/>
        <v>54.817722286960333</v>
      </c>
      <c r="I178" s="44">
        <f t="shared" si="8"/>
        <v>61.212309880914006</v>
      </c>
      <c r="J178" s="44">
        <f t="shared" si="8"/>
        <v>49.224521807282137</v>
      </c>
      <c r="K178" s="44"/>
      <c r="L178" s="44"/>
      <c r="M178" s="44"/>
      <c r="N178" s="44"/>
    </row>
    <row r="179" spans="1:14" x14ac:dyDescent="0.2">
      <c r="A179" s="54">
        <v>46508</v>
      </c>
      <c r="B179" s="44">
        <f t="shared" si="2"/>
        <v>6.1498184799991824</v>
      </c>
      <c r="C179" s="44">
        <f t="shared" si="3"/>
        <v>0.2673208555701736</v>
      </c>
      <c r="D179" s="44">
        <f t="shared" si="4"/>
        <v>6.417139335569356</v>
      </c>
      <c r="E179" s="44"/>
      <c r="F179" s="44"/>
      <c r="G179" s="44"/>
      <c r="H179" s="44">
        <f t="shared" si="8"/>
        <v>59.600600326422722</v>
      </c>
      <c r="I179" s="44">
        <f t="shared" si="8"/>
        <v>69.173264638933148</v>
      </c>
      <c r="J179" s="44">
        <f t="shared" si="8"/>
        <v>51.007153006835999</v>
      </c>
      <c r="K179" s="44"/>
      <c r="L179" s="44"/>
      <c r="M179" s="44"/>
      <c r="N179" s="44"/>
    </row>
    <row r="180" spans="1:14" x14ac:dyDescent="0.2">
      <c r="A180" s="54">
        <v>46539</v>
      </c>
      <c r="B180" s="44">
        <f t="shared" si="2"/>
        <v>6.30356394199916</v>
      </c>
      <c r="C180" s="44">
        <f t="shared" si="3"/>
        <v>0.27073346223702721</v>
      </c>
      <c r="D180" s="44">
        <f t="shared" si="4"/>
        <v>6.5742974042361872</v>
      </c>
      <c r="E180" s="44"/>
      <c r="F180" s="44"/>
      <c r="G180" s="44"/>
      <c r="H180" s="44">
        <f t="shared" si="8"/>
        <v>62.504884879240322</v>
      </c>
      <c r="I180" s="44">
        <f t="shared" si="8"/>
        <v>73.222920408828841</v>
      </c>
      <c r="J180" s="44">
        <f t="shared" si="8"/>
        <v>52.251793233010595</v>
      </c>
      <c r="K180" s="44"/>
      <c r="L180" s="44"/>
      <c r="M180" s="44"/>
      <c r="N180" s="44"/>
    </row>
    <row r="181" spans="1:14" x14ac:dyDescent="0.2">
      <c r="A181" s="54">
        <v>46569</v>
      </c>
      <c r="B181" s="44">
        <f t="shared" si="2"/>
        <v>6.5341821349991314</v>
      </c>
      <c r="C181" s="44">
        <f t="shared" si="3"/>
        <v>0.27755867557073444</v>
      </c>
      <c r="D181" s="44">
        <f t="shared" si="4"/>
        <v>6.8117408105698658</v>
      </c>
      <c r="E181" s="44"/>
      <c r="F181" s="44"/>
      <c r="G181" s="44"/>
      <c r="H181" s="44">
        <f t="shared" si="8"/>
        <v>70.548555162873598</v>
      </c>
      <c r="I181" s="44">
        <f t="shared" si="8"/>
        <v>89.407378131706466</v>
      </c>
      <c r="J181" s="44">
        <f t="shared" si="8"/>
        <v>55.017482522602499</v>
      </c>
      <c r="K181" s="44"/>
      <c r="L181" s="44"/>
      <c r="M181" s="44"/>
      <c r="N181" s="44"/>
    </row>
    <row r="182" spans="1:14" x14ac:dyDescent="0.2">
      <c r="A182" s="54">
        <v>46600</v>
      </c>
      <c r="B182" s="44">
        <f t="shared" si="2"/>
        <v>6.5341821349991314</v>
      </c>
      <c r="C182" s="44">
        <f t="shared" si="3"/>
        <v>0.28438388890444166</v>
      </c>
      <c r="D182" s="44">
        <f t="shared" si="4"/>
        <v>6.818566023903573</v>
      </c>
      <c r="E182" s="44"/>
      <c r="F182" s="44"/>
      <c r="G182" s="44"/>
      <c r="H182" s="44">
        <f t="shared" si="8"/>
        <v>61.951188356435523</v>
      </c>
      <c r="I182" s="44">
        <f t="shared" si="8"/>
        <v>69.901934783348281</v>
      </c>
      <c r="J182" s="44">
        <f t="shared" si="8"/>
        <v>54.169081439565154</v>
      </c>
      <c r="K182" s="44"/>
      <c r="L182" s="44"/>
      <c r="M182" s="44"/>
      <c r="N182" s="44"/>
    </row>
    <row r="183" spans="1:14" x14ac:dyDescent="0.2">
      <c r="A183" s="54">
        <v>46631</v>
      </c>
      <c r="B183" s="44">
        <f t="shared" si="2"/>
        <v>6.1498184799991824</v>
      </c>
      <c r="C183" s="44">
        <f t="shared" si="3"/>
        <v>0.27983374668197047</v>
      </c>
      <c r="D183" s="44">
        <f t="shared" si="4"/>
        <v>6.4296522266811529</v>
      </c>
      <c r="E183" s="44"/>
      <c r="F183" s="44"/>
      <c r="G183" s="44"/>
      <c r="H183" s="44">
        <f t="shared" si="8"/>
        <v>55.128300216900485</v>
      </c>
      <c r="I183" s="44">
        <f t="shared" si="8"/>
        <v>58.813411691276393</v>
      </c>
      <c r="J183" s="44">
        <f t="shared" si="8"/>
        <v>51.504438729162914</v>
      </c>
      <c r="K183" s="44"/>
      <c r="L183" s="44"/>
      <c r="M183" s="44"/>
      <c r="N183" s="44"/>
    </row>
    <row r="184" spans="1:14" x14ac:dyDescent="0.2">
      <c r="A184" s="54">
        <v>46661</v>
      </c>
      <c r="B184" s="44">
        <f t="shared" si="2"/>
        <v>5.7654548249992317</v>
      </c>
      <c r="C184" s="44">
        <f t="shared" si="3"/>
        <v>0.27983374668197136</v>
      </c>
      <c r="D184" s="44">
        <f t="shared" si="4"/>
        <v>6.045288571681203</v>
      </c>
      <c r="E184" s="44"/>
      <c r="F184" s="44"/>
      <c r="G184" s="44"/>
      <c r="H184" s="44">
        <f t="shared" si="8"/>
        <v>52.617620470423681</v>
      </c>
      <c r="I184" s="44">
        <f t="shared" si="8"/>
        <v>56.263957731072004</v>
      </c>
      <c r="J184" s="44">
        <f t="shared" si="8"/>
        <v>49.226037710224929</v>
      </c>
      <c r="K184" s="44"/>
      <c r="L184" s="44"/>
      <c r="M184" s="44"/>
      <c r="N184" s="44"/>
    </row>
    <row r="185" spans="1:14" x14ac:dyDescent="0.2">
      <c r="A185" s="54">
        <v>46692</v>
      </c>
      <c r="B185" s="44">
        <f t="shared" si="2"/>
        <v>6.1498184799991824</v>
      </c>
      <c r="C185" s="44">
        <f t="shared" si="3"/>
        <v>0.41935248257848823</v>
      </c>
      <c r="D185" s="44">
        <f t="shared" si="4"/>
        <v>6.5691709625776706</v>
      </c>
      <c r="E185" s="44"/>
      <c r="F185" s="44"/>
      <c r="G185" s="44"/>
      <c r="H185" s="44">
        <f t="shared" si="8"/>
        <v>59.343570315437766</v>
      </c>
      <c r="I185" s="44">
        <f t="shared" si="8"/>
        <v>64.64471492473028</v>
      </c>
      <c r="J185" s="44">
        <f t="shared" si="8"/>
        <v>54.2280680605569</v>
      </c>
      <c r="K185" s="44"/>
      <c r="L185" s="44"/>
      <c r="M185" s="44"/>
      <c r="N185" s="44"/>
    </row>
    <row r="186" spans="1:14" x14ac:dyDescent="0.2">
      <c r="A186" s="54">
        <v>46722</v>
      </c>
      <c r="B186" s="44">
        <f t="shared" si="2"/>
        <v>6.5341821349991314</v>
      </c>
      <c r="C186" s="44">
        <f t="shared" si="3"/>
        <v>2.120889542027097</v>
      </c>
      <c r="D186" s="44">
        <f t="shared" si="4"/>
        <v>8.6550716770262284</v>
      </c>
      <c r="E186" s="44"/>
      <c r="F186" s="44"/>
      <c r="G186" s="44"/>
      <c r="H186" s="44">
        <f t="shared" si="8"/>
        <v>81.377379680659217</v>
      </c>
      <c r="I186" s="44">
        <f t="shared" si="8"/>
        <v>93.345671895468172</v>
      </c>
      <c r="J186" s="44">
        <f t="shared" si="8"/>
        <v>70.629992162917631</v>
      </c>
      <c r="K186" s="44"/>
      <c r="L186" s="44"/>
      <c r="M186" s="44"/>
      <c r="N186" s="44"/>
    </row>
    <row r="187" spans="1:14" x14ac:dyDescent="0.2">
      <c r="A187" s="54">
        <v>46753</v>
      </c>
      <c r="B187" s="44">
        <f t="shared" si="2"/>
        <v>6.6648657776991138</v>
      </c>
      <c r="C187" s="44">
        <f t="shared" si="3"/>
        <v>4.0482387846213834</v>
      </c>
      <c r="D187" s="44">
        <f t="shared" si="4"/>
        <v>10.713104562320497</v>
      </c>
      <c r="E187" s="44"/>
      <c r="F187" s="44"/>
      <c r="G187" s="44"/>
      <c r="H187" s="44">
        <f t="shared" si="8"/>
        <v>107.53567278813242</v>
      </c>
      <c r="I187" s="44">
        <f t="shared" si="8"/>
        <v>130.7986026689837</v>
      </c>
      <c r="J187" s="44">
        <f t="shared" si="8"/>
        <v>88.378162375895897</v>
      </c>
      <c r="K187" s="44"/>
      <c r="L187" s="44"/>
      <c r="M187" s="44"/>
      <c r="N187" s="44"/>
    </row>
    <row r="188" spans="1:14" x14ac:dyDescent="0.2">
      <c r="A188" s="54">
        <v>46784</v>
      </c>
      <c r="B188" s="44">
        <f t="shared" si="2"/>
        <v>6.6648657776991138</v>
      </c>
      <c r="C188" s="44">
        <f t="shared" si="3"/>
        <v>3.3625096009838868</v>
      </c>
      <c r="D188" s="44">
        <f t="shared" si="4"/>
        <v>10.027375378683001</v>
      </c>
      <c r="E188" s="44"/>
      <c r="F188" s="44"/>
      <c r="G188" s="44"/>
      <c r="H188" s="44">
        <f t="shared" si="8"/>
        <v>86.852799028413642</v>
      </c>
      <c r="I188" s="44">
        <f t="shared" si="8"/>
        <v>94.878796423119795</v>
      </c>
      <c r="J188" s="44">
        <f t="shared" si="8"/>
        <v>79.555983917043989</v>
      </c>
      <c r="K188" s="44"/>
      <c r="L188" s="44"/>
      <c r="M188" s="44"/>
      <c r="N188" s="44"/>
    </row>
    <row r="189" spans="1:14" x14ac:dyDescent="0.2">
      <c r="A189" s="54">
        <v>46813</v>
      </c>
      <c r="B189" s="44">
        <f t="shared" si="2"/>
        <v>6.2728148495991665</v>
      </c>
      <c r="C189" s="44">
        <f t="shared" si="3"/>
        <v>0.7472243557741951</v>
      </c>
      <c r="D189" s="44">
        <f t="shared" si="4"/>
        <v>7.0200392053733616</v>
      </c>
      <c r="E189" s="44"/>
      <c r="F189" s="44"/>
      <c r="G189" s="44"/>
      <c r="H189" s="44">
        <f t="shared" si="8"/>
        <v>61.323147448666461</v>
      </c>
      <c r="I189" s="44">
        <f t="shared" si="8"/>
        <v>66.783787394136326</v>
      </c>
      <c r="J189" s="44">
        <f t="shared" si="8"/>
        <v>55.976561854532392</v>
      </c>
      <c r="K189" s="44"/>
      <c r="L189" s="44"/>
      <c r="M189" s="44"/>
      <c r="N189" s="44"/>
    </row>
    <row r="190" spans="1:14" x14ac:dyDescent="0.2">
      <c r="A190" s="54">
        <v>46844</v>
      </c>
      <c r="B190" s="44">
        <f t="shared" si="2"/>
        <v>5.8807639214992165</v>
      </c>
      <c r="C190" s="44">
        <f t="shared" si="3"/>
        <v>0.26106441001427783</v>
      </c>
      <c r="D190" s="44">
        <f t="shared" si="4"/>
        <v>6.1418283315134943</v>
      </c>
      <c r="E190" s="44"/>
      <c r="F190" s="44"/>
      <c r="G190" s="44"/>
      <c r="H190" s="44">
        <f t="shared" si="8"/>
        <v>55.914076732699542</v>
      </c>
      <c r="I190" s="44">
        <f t="shared" si="8"/>
        <v>62.436556078532284</v>
      </c>
      <c r="J190" s="44">
        <f t="shared" si="8"/>
        <v>50.209012243427779</v>
      </c>
      <c r="K190" s="44"/>
      <c r="L190" s="44"/>
      <c r="M190" s="44"/>
      <c r="N190" s="44"/>
    </row>
    <row r="191" spans="1:14" x14ac:dyDescent="0.2">
      <c r="A191" s="54">
        <v>46874</v>
      </c>
      <c r="B191" s="44">
        <f t="shared" si="2"/>
        <v>6.2728148495991665</v>
      </c>
      <c r="C191" s="44">
        <f t="shared" si="3"/>
        <v>0.27266727268157709</v>
      </c>
      <c r="D191" s="44">
        <f t="shared" si="4"/>
        <v>6.5454821222807436</v>
      </c>
      <c r="E191" s="44"/>
      <c r="F191" s="44"/>
      <c r="G191" s="44"/>
      <c r="H191" s="44">
        <f t="shared" si="8"/>
        <v>60.79261233295118</v>
      </c>
      <c r="I191" s="44">
        <f t="shared" si="8"/>
        <v>70.556729931711814</v>
      </c>
      <c r="J191" s="44">
        <f t="shared" si="8"/>
        <v>52.027296066972717</v>
      </c>
      <c r="K191" s="44"/>
      <c r="L191" s="44"/>
      <c r="M191" s="44"/>
      <c r="N191" s="44"/>
    </row>
    <row r="192" spans="1:14" x14ac:dyDescent="0.2">
      <c r="A192" s="54">
        <v>46905</v>
      </c>
      <c r="B192" s="44">
        <f t="shared" ref="B192:B255" si="9">B180*(1+B$4)</f>
        <v>6.4296352208391436</v>
      </c>
      <c r="C192" s="44">
        <f t="shared" ref="C192:C255" si="10">D192-B192</f>
        <v>0.27614813148176776</v>
      </c>
      <c r="D192" s="44">
        <f t="shared" ref="D192:D255" si="11">D180*(1+D$4)</f>
        <v>6.7057833523209114</v>
      </c>
      <c r="E192" s="44"/>
      <c r="F192" s="44"/>
      <c r="G192" s="44"/>
      <c r="H192" s="44">
        <f t="shared" ref="H192:J207" si="12">H180*(1+H$4)</f>
        <v>63.754982576825128</v>
      </c>
      <c r="I192" s="44">
        <f t="shared" si="12"/>
        <v>74.687378817005424</v>
      </c>
      <c r="J192" s="44">
        <f t="shared" si="12"/>
        <v>53.296829097670809</v>
      </c>
      <c r="K192" s="44"/>
      <c r="L192" s="44"/>
      <c r="M192" s="44"/>
      <c r="N192" s="44"/>
    </row>
    <row r="193" spans="1:14" x14ac:dyDescent="0.2">
      <c r="A193" s="54">
        <v>46935</v>
      </c>
      <c r="B193" s="44">
        <f t="shared" si="9"/>
        <v>6.6648657776991138</v>
      </c>
      <c r="C193" s="44">
        <f t="shared" si="10"/>
        <v>0.28310984908214909</v>
      </c>
      <c r="D193" s="44">
        <f t="shared" si="11"/>
        <v>6.9479756267812629</v>
      </c>
      <c r="E193" s="44"/>
      <c r="F193" s="44"/>
      <c r="G193" s="44"/>
      <c r="H193" s="44">
        <f t="shared" si="12"/>
        <v>71.959526266131064</v>
      </c>
      <c r="I193" s="44">
        <f t="shared" si="12"/>
        <v>91.195525694340603</v>
      </c>
      <c r="J193" s="44">
        <f t="shared" si="12"/>
        <v>56.117832173054552</v>
      </c>
      <c r="K193" s="44"/>
      <c r="L193" s="44"/>
      <c r="M193" s="44"/>
      <c r="N193" s="44"/>
    </row>
    <row r="194" spans="1:14" x14ac:dyDescent="0.2">
      <c r="A194" s="54">
        <v>46966</v>
      </c>
      <c r="B194" s="44">
        <f t="shared" si="9"/>
        <v>6.6648657776991138</v>
      </c>
      <c r="C194" s="44">
        <f t="shared" si="10"/>
        <v>0.29007156668253042</v>
      </c>
      <c r="D194" s="44">
        <f t="shared" si="11"/>
        <v>6.9549373443816442</v>
      </c>
      <c r="E194" s="44"/>
      <c r="F194" s="44"/>
      <c r="G194" s="44"/>
      <c r="H194" s="44">
        <f t="shared" si="12"/>
        <v>63.190212123564237</v>
      </c>
      <c r="I194" s="44">
        <f t="shared" si="12"/>
        <v>71.29997347901525</v>
      </c>
      <c r="J194" s="44">
        <f t="shared" si="12"/>
        <v>55.252463068356455</v>
      </c>
      <c r="K194" s="44"/>
      <c r="L194" s="44"/>
      <c r="M194" s="44"/>
      <c r="N194" s="44"/>
    </row>
    <row r="195" spans="1:14" x14ac:dyDescent="0.2">
      <c r="A195" s="54">
        <v>46997</v>
      </c>
      <c r="B195" s="44">
        <f t="shared" si="9"/>
        <v>6.2728148495991665</v>
      </c>
      <c r="C195" s="44">
        <f t="shared" si="10"/>
        <v>0.28543042161560983</v>
      </c>
      <c r="D195" s="44">
        <f t="shared" si="11"/>
        <v>6.5582452712147763</v>
      </c>
      <c r="E195" s="44"/>
      <c r="F195" s="44"/>
      <c r="G195" s="44"/>
      <c r="H195" s="44">
        <f t="shared" si="12"/>
        <v>56.230866221238493</v>
      </c>
      <c r="I195" s="44">
        <f t="shared" si="12"/>
        <v>59.989679925101925</v>
      </c>
      <c r="J195" s="44">
        <f t="shared" si="12"/>
        <v>52.534527503746176</v>
      </c>
      <c r="K195" s="44"/>
      <c r="L195" s="44"/>
      <c r="M195" s="44"/>
      <c r="N195" s="44"/>
    </row>
    <row r="196" spans="1:14" x14ac:dyDescent="0.2">
      <c r="A196" s="54">
        <v>47027</v>
      </c>
      <c r="B196" s="44">
        <f t="shared" si="9"/>
        <v>5.8807639214992165</v>
      </c>
      <c r="C196" s="44">
        <f t="shared" si="10"/>
        <v>0.28543042161561072</v>
      </c>
      <c r="D196" s="44">
        <f t="shared" si="11"/>
        <v>6.1661943431148272</v>
      </c>
      <c r="E196" s="44"/>
      <c r="F196" s="44"/>
      <c r="G196" s="44"/>
      <c r="H196" s="44">
        <f t="shared" si="12"/>
        <v>53.669972879832159</v>
      </c>
      <c r="I196" s="44">
        <f t="shared" si="12"/>
        <v>57.389236885693443</v>
      </c>
      <c r="J196" s="44">
        <f t="shared" si="12"/>
        <v>50.210558464429425</v>
      </c>
      <c r="K196" s="44"/>
      <c r="L196" s="44"/>
      <c r="M196" s="44"/>
      <c r="N196" s="44"/>
    </row>
    <row r="197" spans="1:14" x14ac:dyDescent="0.2">
      <c r="A197" s="54">
        <v>47058</v>
      </c>
      <c r="B197" s="44">
        <f t="shared" si="9"/>
        <v>6.2728148495991665</v>
      </c>
      <c r="C197" s="44">
        <f t="shared" si="10"/>
        <v>0.42773953223005812</v>
      </c>
      <c r="D197" s="44">
        <f t="shared" si="11"/>
        <v>6.7005543818292246</v>
      </c>
      <c r="E197" s="44"/>
      <c r="F197" s="44"/>
      <c r="G197" s="44"/>
      <c r="H197" s="44">
        <f t="shared" si="12"/>
        <v>60.53044172174652</v>
      </c>
      <c r="I197" s="44">
        <f t="shared" si="12"/>
        <v>65.937609223224882</v>
      </c>
      <c r="J197" s="44">
        <f t="shared" si="12"/>
        <v>55.312629421768037</v>
      </c>
      <c r="K197" s="44"/>
      <c r="L197" s="44"/>
      <c r="M197" s="44"/>
      <c r="N197" s="44"/>
    </row>
    <row r="198" spans="1:14" x14ac:dyDescent="0.2">
      <c r="A198" s="54">
        <v>47088</v>
      </c>
      <c r="B198" s="44">
        <f t="shared" si="9"/>
        <v>6.6648657776991138</v>
      </c>
      <c r="C198" s="44">
        <f t="shared" si="10"/>
        <v>2.1633073328676398</v>
      </c>
      <c r="D198" s="44">
        <f t="shared" si="11"/>
        <v>8.8281731105667536</v>
      </c>
      <c r="E198" s="44"/>
      <c r="F198" s="44"/>
      <c r="G198" s="44"/>
      <c r="H198" s="44">
        <f t="shared" si="12"/>
        <v>83.004927274272404</v>
      </c>
      <c r="I198" s="44">
        <f t="shared" si="12"/>
        <v>95.212585333377532</v>
      </c>
      <c r="J198" s="44">
        <f t="shared" si="12"/>
        <v>72.04259200617598</v>
      </c>
      <c r="K198" s="44"/>
      <c r="L198" s="44"/>
      <c r="M198" s="44"/>
      <c r="N198" s="44"/>
    </row>
    <row r="199" spans="1:14" x14ac:dyDescent="0.2">
      <c r="A199" s="54">
        <v>47119</v>
      </c>
      <c r="B199" s="44">
        <f t="shared" si="9"/>
        <v>6.7981630932530965</v>
      </c>
      <c r="C199" s="44">
        <f t="shared" si="10"/>
        <v>4.12920356031381</v>
      </c>
      <c r="D199" s="44">
        <f t="shared" si="11"/>
        <v>10.927366653566907</v>
      </c>
      <c r="E199" s="44"/>
      <c r="F199" s="44"/>
      <c r="G199" s="44"/>
      <c r="H199" s="44">
        <f t="shared" si="12"/>
        <v>109.68638624389507</v>
      </c>
      <c r="I199" s="44">
        <f t="shared" si="12"/>
        <v>133.41457472236337</v>
      </c>
      <c r="J199" s="44">
        <f t="shared" si="12"/>
        <v>90.14572562341381</v>
      </c>
      <c r="K199" s="44"/>
      <c r="L199" s="44"/>
      <c r="M199" s="44"/>
      <c r="N199" s="44"/>
    </row>
    <row r="200" spans="1:14" x14ac:dyDescent="0.2">
      <c r="A200" s="54">
        <v>47150</v>
      </c>
      <c r="B200" s="44">
        <f t="shared" si="9"/>
        <v>6.7981630932530965</v>
      </c>
      <c r="C200" s="44">
        <f t="shared" si="10"/>
        <v>3.4297597930035639</v>
      </c>
      <c r="D200" s="44">
        <f t="shared" si="11"/>
        <v>10.22792288625666</v>
      </c>
      <c r="E200" s="44"/>
      <c r="F200" s="44"/>
      <c r="G200" s="44"/>
      <c r="H200" s="44">
        <f t="shared" si="12"/>
        <v>88.589855008981914</v>
      </c>
      <c r="I200" s="44">
        <f t="shared" si="12"/>
        <v>96.776372351582197</v>
      </c>
      <c r="J200" s="44">
        <f t="shared" si="12"/>
        <v>81.147103595384863</v>
      </c>
      <c r="K200" s="44"/>
      <c r="L200" s="44"/>
      <c r="M200" s="44"/>
      <c r="N200" s="44"/>
    </row>
    <row r="201" spans="1:14" x14ac:dyDescent="0.2">
      <c r="A201" s="54">
        <v>47178</v>
      </c>
      <c r="B201" s="44">
        <f t="shared" si="9"/>
        <v>6.3982711465911501</v>
      </c>
      <c r="C201" s="44">
        <f t="shared" si="10"/>
        <v>0.7621688428896789</v>
      </c>
      <c r="D201" s="44">
        <f t="shared" si="11"/>
        <v>7.160439989480829</v>
      </c>
      <c r="E201" s="44"/>
      <c r="F201" s="44"/>
      <c r="G201" s="44"/>
      <c r="H201" s="44">
        <f t="shared" si="12"/>
        <v>62.549610397639789</v>
      </c>
      <c r="I201" s="44">
        <f t="shared" si="12"/>
        <v>68.119463142019057</v>
      </c>
      <c r="J201" s="44">
        <f t="shared" si="12"/>
        <v>57.09609309162304</v>
      </c>
      <c r="K201" s="44"/>
      <c r="L201" s="44"/>
      <c r="M201" s="44"/>
      <c r="N201" s="44"/>
    </row>
    <row r="202" spans="1:14" x14ac:dyDescent="0.2">
      <c r="A202" s="54">
        <v>47209</v>
      </c>
      <c r="B202" s="44">
        <f t="shared" si="9"/>
        <v>5.9983791999292011</v>
      </c>
      <c r="C202" s="44">
        <f t="shared" si="10"/>
        <v>0.26628569821456338</v>
      </c>
      <c r="D202" s="44">
        <f t="shared" si="11"/>
        <v>6.2646648981437645</v>
      </c>
      <c r="E202" s="44"/>
      <c r="F202" s="44"/>
      <c r="G202" s="44"/>
      <c r="H202" s="44">
        <f t="shared" si="12"/>
        <v>57.03235826735353</v>
      </c>
      <c r="I202" s="44">
        <f t="shared" si="12"/>
        <v>63.685287200102934</v>
      </c>
      <c r="J202" s="44">
        <f t="shared" si="12"/>
        <v>51.213192488296336</v>
      </c>
      <c r="K202" s="44"/>
      <c r="L202" s="44"/>
      <c r="M202" s="44"/>
      <c r="N202" s="44"/>
    </row>
    <row r="203" spans="1:14" x14ac:dyDescent="0.2">
      <c r="A203" s="54">
        <v>47239</v>
      </c>
      <c r="B203" s="44">
        <f t="shared" si="9"/>
        <v>6.3982711465911501</v>
      </c>
      <c r="C203" s="44">
        <f t="shared" si="10"/>
        <v>0.27812061813520828</v>
      </c>
      <c r="D203" s="44">
        <f t="shared" si="11"/>
        <v>6.6763917647263584</v>
      </c>
      <c r="E203" s="44"/>
      <c r="F203" s="44"/>
      <c r="G203" s="44"/>
      <c r="H203" s="44">
        <f t="shared" si="12"/>
        <v>62.008464579610205</v>
      </c>
      <c r="I203" s="44">
        <f t="shared" si="12"/>
        <v>71.967864530346048</v>
      </c>
      <c r="J203" s="44">
        <f t="shared" si="12"/>
        <v>53.067841988312175</v>
      </c>
      <c r="K203" s="44"/>
      <c r="L203" s="44"/>
      <c r="M203" s="44"/>
      <c r="N203" s="44"/>
    </row>
    <row r="204" spans="1:14" x14ac:dyDescent="0.2">
      <c r="A204" s="54">
        <v>47270</v>
      </c>
      <c r="B204" s="44">
        <f t="shared" si="9"/>
        <v>6.5582279252559266</v>
      </c>
      <c r="C204" s="44">
        <f t="shared" si="10"/>
        <v>0.28167109411140334</v>
      </c>
      <c r="D204" s="44">
        <f t="shared" si="11"/>
        <v>6.8398990193673299</v>
      </c>
      <c r="E204" s="44"/>
      <c r="F204" s="44"/>
      <c r="G204" s="44"/>
      <c r="H204" s="44">
        <f t="shared" si="12"/>
        <v>65.030082228361636</v>
      </c>
      <c r="I204" s="44">
        <f t="shared" si="12"/>
        <v>76.181126393345536</v>
      </c>
      <c r="J204" s="44">
        <f t="shared" si="12"/>
        <v>54.362765679624225</v>
      </c>
      <c r="K204" s="44"/>
      <c r="L204" s="44"/>
      <c r="M204" s="44"/>
      <c r="N204" s="44"/>
    </row>
    <row r="205" spans="1:14" x14ac:dyDescent="0.2">
      <c r="A205" s="54">
        <v>47300</v>
      </c>
      <c r="B205" s="44">
        <f t="shared" si="9"/>
        <v>6.7981630932530965</v>
      </c>
      <c r="C205" s="44">
        <f t="shared" si="10"/>
        <v>0.2887720460637917</v>
      </c>
      <c r="D205" s="44">
        <f t="shared" si="11"/>
        <v>7.0869351393168882</v>
      </c>
      <c r="E205" s="44"/>
      <c r="F205" s="44"/>
      <c r="G205" s="44"/>
      <c r="H205" s="44">
        <f t="shared" si="12"/>
        <v>73.39871679145368</v>
      </c>
      <c r="I205" s="44">
        <f t="shared" si="12"/>
        <v>93.019436208227418</v>
      </c>
      <c r="J205" s="44">
        <f t="shared" si="12"/>
        <v>57.240188816515641</v>
      </c>
      <c r="K205" s="44"/>
      <c r="L205" s="44"/>
      <c r="M205" s="44"/>
      <c r="N205" s="44"/>
    </row>
    <row r="206" spans="1:14" x14ac:dyDescent="0.2">
      <c r="A206" s="54">
        <v>47331</v>
      </c>
      <c r="B206" s="44">
        <f t="shared" si="9"/>
        <v>6.7981630932530965</v>
      </c>
      <c r="C206" s="44">
        <f t="shared" si="10"/>
        <v>0.29587299801618094</v>
      </c>
      <c r="D206" s="44">
        <f t="shared" si="11"/>
        <v>7.0940360912692775</v>
      </c>
      <c r="E206" s="44"/>
      <c r="F206" s="44"/>
      <c r="G206" s="44"/>
      <c r="H206" s="44">
        <f t="shared" si="12"/>
        <v>64.454016366035518</v>
      </c>
      <c r="I206" s="44">
        <f t="shared" si="12"/>
        <v>72.725972948595555</v>
      </c>
      <c r="J206" s="44">
        <f t="shared" si="12"/>
        <v>56.357512329723583</v>
      </c>
      <c r="K206" s="44"/>
      <c r="L206" s="44"/>
      <c r="M206" s="44"/>
      <c r="N206" s="44"/>
    </row>
    <row r="207" spans="1:14" x14ac:dyDescent="0.2">
      <c r="A207" s="54">
        <v>47362</v>
      </c>
      <c r="B207" s="44">
        <f t="shared" si="9"/>
        <v>6.3982711465911501</v>
      </c>
      <c r="C207" s="44">
        <f t="shared" si="10"/>
        <v>0.29113903004792174</v>
      </c>
      <c r="D207" s="44">
        <f t="shared" si="11"/>
        <v>6.6894101766390719</v>
      </c>
      <c r="E207" s="44"/>
      <c r="F207" s="44"/>
      <c r="G207" s="44"/>
      <c r="H207" s="44">
        <f t="shared" si="12"/>
        <v>57.355483545663262</v>
      </c>
      <c r="I207" s="44">
        <f t="shared" si="12"/>
        <v>61.189473523603965</v>
      </c>
      <c r="J207" s="44">
        <f t="shared" si="12"/>
        <v>53.585218053821102</v>
      </c>
      <c r="K207" s="44"/>
      <c r="L207" s="44"/>
      <c r="M207" s="44"/>
      <c r="N207" s="44"/>
    </row>
    <row r="208" spans="1:14" x14ac:dyDescent="0.2">
      <c r="A208" s="54">
        <v>47392</v>
      </c>
      <c r="B208" s="44">
        <f t="shared" si="9"/>
        <v>5.9983791999292011</v>
      </c>
      <c r="C208" s="44">
        <f t="shared" si="10"/>
        <v>0.29113903004792263</v>
      </c>
      <c r="D208" s="44">
        <f t="shared" si="11"/>
        <v>6.2895182299771237</v>
      </c>
      <c r="E208" s="44"/>
      <c r="F208" s="44"/>
      <c r="G208" s="44"/>
      <c r="H208" s="44">
        <f t="shared" ref="H208:J223" si="13">H196*(1+H$4)</f>
        <v>54.743372337428802</v>
      </c>
      <c r="I208" s="44">
        <f t="shared" si="13"/>
        <v>58.537021623407313</v>
      </c>
      <c r="J208" s="44">
        <f t="shared" si="13"/>
        <v>51.214769633718014</v>
      </c>
      <c r="K208" s="44"/>
      <c r="L208" s="44"/>
      <c r="M208" s="44"/>
      <c r="N208" s="44"/>
    </row>
    <row r="209" spans="1:14" x14ac:dyDescent="0.2">
      <c r="A209" s="54">
        <v>47423</v>
      </c>
      <c r="B209" s="44">
        <f t="shared" si="9"/>
        <v>6.3982711465911501</v>
      </c>
      <c r="C209" s="44">
        <f t="shared" si="10"/>
        <v>0.43629432287465875</v>
      </c>
      <c r="D209" s="44">
        <f t="shared" si="11"/>
        <v>6.8345654694658089</v>
      </c>
      <c r="E209" s="44"/>
      <c r="F209" s="44"/>
      <c r="G209" s="44"/>
      <c r="H209" s="44">
        <f t="shared" si="13"/>
        <v>61.741050556181449</v>
      </c>
      <c r="I209" s="44">
        <f t="shared" si="13"/>
        <v>67.256361407689383</v>
      </c>
      <c r="J209" s="44">
        <f t="shared" si="13"/>
        <v>56.418882010203397</v>
      </c>
      <c r="K209" s="44"/>
      <c r="L209" s="44"/>
      <c r="M209" s="44"/>
      <c r="N209" s="44"/>
    </row>
    <row r="210" spans="1:14" x14ac:dyDescent="0.2">
      <c r="A210" s="54">
        <v>47453</v>
      </c>
      <c r="B210" s="44">
        <f t="shared" si="9"/>
        <v>6.7981630932530965</v>
      </c>
      <c r="C210" s="44">
        <f t="shared" si="10"/>
        <v>2.2065734795249927</v>
      </c>
      <c r="D210" s="44">
        <f t="shared" si="11"/>
        <v>9.0047365727780893</v>
      </c>
      <c r="E210" s="44"/>
      <c r="F210" s="44"/>
      <c r="G210" s="44"/>
      <c r="H210" s="44">
        <f t="shared" si="13"/>
        <v>84.665025819757858</v>
      </c>
      <c r="I210" s="44">
        <f t="shared" si="13"/>
        <v>97.116837040045084</v>
      </c>
      <c r="J210" s="44">
        <f t="shared" si="13"/>
        <v>73.483443846299494</v>
      </c>
      <c r="K210" s="44"/>
      <c r="L210" s="44"/>
      <c r="M210" s="44"/>
      <c r="N210" s="44"/>
    </row>
    <row r="211" spans="1:14" x14ac:dyDescent="0.2">
      <c r="A211" s="54">
        <v>47484</v>
      </c>
      <c r="B211" s="44">
        <f t="shared" si="9"/>
        <v>6.9341263551181589</v>
      </c>
      <c r="C211" s="44">
        <f t="shared" si="10"/>
        <v>4.2117876315200862</v>
      </c>
      <c r="D211" s="44">
        <f t="shared" si="11"/>
        <v>11.145913986638245</v>
      </c>
      <c r="E211" s="44"/>
      <c r="F211" s="44"/>
      <c r="G211" s="44"/>
      <c r="H211" s="44">
        <f t="shared" si="13"/>
        <v>111.88011396877297</v>
      </c>
      <c r="I211" s="44">
        <f t="shared" si="13"/>
        <v>136.08286621681063</v>
      </c>
      <c r="J211" s="44">
        <f t="shared" si="13"/>
        <v>91.948640135882087</v>
      </c>
      <c r="K211" s="44"/>
      <c r="L211" s="44"/>
      <c r="M211" s="44"/>
      <c r="N211" s="44"/>
    </row>
    <row r="212" spans="1:14" x14ac:dyDescent="0.2">
      <c r="A212" s="54">
        <v>47515</v>
      </c>
      <c r="B212" s="44">
        <f t="shared" si="9"/>
        <v>6.9341263551181589</v>
      </c>
      <c r="C212" s="44">
        <f t="shared" si="10"/>
        <v>3.4983549888636345</v>
      </c>
      <c r="D212" s="44">
        <f t="shared" si="11"/>
        <v>10.432481343981793</v>
      </c>
      <c r="E212" s="44"/>
      <c r="F212" s="44"/>
      <c r="G212" s="44"/>
      <c r="H212" s="44">
        <f t="shared" si="13"/>
        <v>90.361652109161554</v>
      </c>
      <c r="I212" s="44">
        <f t="shared" si="13"/>
        <v>98.711899798613842</v>
      </c>
      <c r="J212" s="44">
        <f t="shared" si="13"/>
        <v>82.770045667292564</v>
      </c>
      <c r="K212" s="44"/>
      <c r="L212" s="44"/>
      <c r="M212" s="44"/>
      <c r="N212" s="44"/>
    </row>
    <row r="213" spans="1:14" x14ac:dyDescent="0.2">
      <c r="A213" s="54">
        <v>47543</v>
      </c>
      <c r="B213" s="44">
        <f t="shared" si="9"/>
        <v>6.5262365695229736</v>
      </c>
      <c r="C213" s="44">
        <f t="shared" si="10"/>
        <v>0.77741221974747177</v>
      </c>
      <c r="D213" s="44">
        <f t="shared" si="11"/>
        <v>7.3036487892704454</v>
      </c>
      <c r="E213" s="44"/>
      <c r="F213" s="44"/>
      <c r="G213" s="44"/>
      <c r="H213" s="44">
        <f t="shared" si="13"/>
        <v>63.800602605592587</v>
      </c>
      <c r="I213" s="44">
        <f t="shared" si="13"/>
        <v>69.481852404859438</v>
      </c>
      <c r="J213" s="44">
        <f t="shared" si="13"/>
        <v>58.238014953455504</v>
      </c>
      <c r="K213" s="44"/>
      <c r="L213" s="44"/>
      <c r="M213" s="44"/>
      <c r="N213" s="44"/>
    </row>
    <row r="214" spans="1:14" x14ac:dyDescent="0.2">
      <c r="A214" s="54">
        <v>47574</v>
      </c>
      <c r="B214" s="44">
        <f t="shared" si="9"/>
        <v>6.1183467839277856</v>
      </c>
      <c r="C214" s="44">
        <f t="shared" si="10"/>
        <v>0.27161141217885465</v>
      </c>
      <c r="D214" s="44">
        <f t="shared" si="11"/>
        <v>6.3899581961066403</v>
      </c>
      <c r="E214" s="44"/>
      <c r="F214" s="44"/>
      <c r="G214" s="44"/>
      <c r="H214" s="44">
        <f t="shared" si="13"/>
        <v>58.173005432700599</v>
      </c>
      <c r="I214" s="44">
        <f t="shared" si="13"/>
        <v>64.958992944104992</v>
      </c>
      <c r="J214" s="44">
        <f t="shared" si="13"/>
        <v>52.237456338062266</v>
      </c>
      <c r="K214" s="44"/>
      <c r="L214" s="44"/>
      <c r="M214" s="44"/>
      <c r="N214" s="44"/>
    </row>
    <row r="215" spans="1:14" x14ac:dyDescent="0.2">
      <c r="A215" s="54">
        <v>47604</v>
      </c>
      <c r="B215" s="44">
        <f t="shared" si="9"/>
        <v>6.5262365695229736</v>
      </c>
      <c r="C215" s="44">
        <f t="shared" si="10"/>
        <v>0.28368303049791255</v>
      </c>
      <c r="D215" s="44">
        <f t="shared" si="11"/>
        <v>6.8099196000208861</v>
      </c>
      <c r="E215" s="44"/>
      <c r="F215" s="44"/>
      <c r="G215" s="44"/>
      <c r="H215" s="44">
        <f t="shared" si="13"/>
        <v>63.248633871202408</v>
      </c>
      <c r="I215" s="44">
        <f t="shared" si="13"/>
        <v>73.407221820952969</v>
      </c>
      <c r="J215" s="44">
        <f t="shared" si="13"/>
        <v>54.129198828078422</v>
      </c>
      <c r="K215" s="44"/>
      <c r="L215" s="44"/>
      <c r="M215" s="44"/>
      <c r="N215" s="44"/>
    </row>
    <row r="216" spans="1:14" x14ac:dyDescent="0.2">
      <c r="A216" s="54">
        <v>47635</v>
      </c>
      <c r="B216" s="44">
        <f t="shared" si="9"/>
        <v>6.6893924837610452</v>
      </c>
      <c r="C216" s="44">
        <f t="shared" si="10"/>
        <v>0.2873045159936316</v>
      </c>
      <c r="D216" s="44">
        <f t="shared" si="11"/>
        <v>6.9766969997546768</v>
      </c>
      <c r="E216" s="44"/>
      <c r="F216" s="44"/>
      <c r="G216" s="44"/>
      <c r="H216" s="44">
        <f t="shared" si="13"/>
        <v>66.330683872928873</v>
      </c>
      <c r="I216" s="44">
        <f t="shared" si="13"/>
        <v>77.704748921212442</v>
      </c>
      <c r="J216" s="44">
        <f t="shared" si="13"/>
        <v>55.450020993216711</v>
      </c>
      <c r="K216" s="44"/>
      <c r="L216" s="44"/>
      <c r="M216" s="44"/>
      <c r="N216" s="44"/>
    </row>
    <row r="217" spans="1:14" x14ac:dyDescent="0.2">
      <c r="A217" s="54">
        <v>47665</v>
      </c>
      <c r="B217" s="44">
        <f t="shared" si="9"/>
        <v>6.9341263551181589</v>
      </c>
      <c r="C217" s="44">
        <f t="shared" si="10"/>
        <v>0.29454748698506705</v>
      </c>
      <c r="D217" s="44">
        <f t="shared" si="11"/>
        <v>7.2286738421032259</v>
      </c>
      <c r="E217" s="44"/>
      <c r="F217" s="44"/>
      <c r="G217" s="44"/>
      <c r="H217" s="44">
        <f t="shared" si="13"/>
        <v>74.866691127282749</v>
      </c>
      <c r="I217" s="44">
        <f t="shared" si="13"/>
        <v>94.879824932391969</v>
      </c>
      <c r="J217" s="44">
        <f t="shared" si="13"/>
        <v>58.384992592845954</v>
      </c>
      <c r="K217" s="44"/>
      <c r="L217" s="44"/>
      <c r="M217" s="44"/>
      <c r="N217" s="44"/>
    </row>
    <row r="218" spans="1:14" x14ac:dyDescent="0.2">
      <c r="A218" s="54">
        <v>47696</v>
      </c>
      <c r="B218" s="44">
        <f t="shared" si="9"/>
        <v>6.9341263551181589</v>
      </c>
      <c r="C218" s="44">
        <f t="shared" si="10"/>
        <v>0.30179045797650428</v>
      </c>
      <c r="D218" s="44">
        <f t="shared" si="11"/>
        <v>7.2359168130946632</v>
      </c>
      <c r="E218" s="44"/>
      <c r="F218" s="44"/>
      <c r="G218" s="44"/>
      <c r="H218" s="44">
        <f t="shared" si="13"/>
        <v>65.743096693356236</v>
      </c>
      <c r="I218" s="44">
        <f t="shared" si="13"/>
        <v>74.180492407567471</v>
      </c>
      <c r="J218" s="44">
        <f t="shared" si="13"/>
        <v>57.484662576318058</v>
      </c>
      <c r="K218" s="44"/>
      <c r="L218" s="44"/>
      <c r="M218" s="44"/>
      <c r="N218" s="44"/>
    </row>
    <row r="219" spans="1:14" x14ac:dyDescent="0.2">
      <c r="A219" s="54">
        <v>47727</v>
      </c>
      <c r="B219" s="44">
        <f t="shared" si="9"/>
        <v>6.5262365695229736</v>
      </c>
      <c r="C219" s="44">
        <f t="shared" si="10"/>
        <v>0.29696181064888005</v>
      </c>
      <c r="D219" s="44">
        <f t="shared" si="11"/>
        <v>6.8231983801718536</v>
      </c>
      <c r="E219" s="44"/>
      <c r="F219" s="44"/>
      <c r="G219" s="44"/>
      <c r="H219" s="44">
        <f t="shared" si="13"/>
        <v>58.502593216576528</v>
      </c>
      <c r="I219" s="44">
        <f t="shared" si="13"/>
        <v>62.413262994076042</v>
      </c>
      <c r="J219" s="44">
        <f t="shared" si="13"/>
        <v>54.656922414897522</v>
      </c>
      <c r="K219" s="44"/>
      <c r="L219" s="44"/>
      <c r="M219" s="44"/>
      <c r="N219" s="44"/>
    </row>
    <row r="220" spans="1:14" x14ac:dyDescent="0.2">
      <c r="A220" s="54">
        <v>47757</v>
      </c>
      <c r="B220" s="44">
        <f t="shared" si="9"/>
        <v>6.1183467839277856</v>
      </c>
      <c r="C220" s="44">
        <f t="shared" si="10"/>
        <v>0.29696181064888094</v>
      </c>
      <c r="D220" s="44">
        <f t="shared" si="11"/>
        <v>6.4153085945766666</v>
      </c>
      <c r="E220" s="44"/>
      <c r="F220" s="44"/>
      <c r="G220" s="44"/>
      <c r="H220" s="44">
        <f t="shared" si="13"/>
        <v>55.838239784177382</v>
      </c>
      <c r="I220" s="44">
        <f t="shared" si="13"/>
        <v>59.707762055875463</v>
      </c>
      <c r="J220" s="44">
        <f t="shared" si="13"/>
        <v>52.239065026392375</v>
      </c>
      <c r="K220" s="44"/>
      <c r="L220" s="44"/>
      <c r="M220" s="44"/>
      <c r="N220" s="44"/>
    </row>
    <row r="221" spans="1:14" x14ac:dyDescent="0.2">
      <c r="A221" s="54">
        <v>47788</v>
      </c>
      <c r="B221" s="44">
        <f t="shared" si="9"/>
        <v>6.5262365695229736</v>
      </c>
      <c r="C221" s="44">
        <f t="shared" si="10"/>
        <v>0.44502020933215203</v>
      </c>
      <c r="D221" s="44">
        <f t="shared" si="11"/>
        <v>6.9712567788551256</v>
      </c>
      <c r="E221" s="44"/>
      <c r="F221" s="44"/>
      <c r="G221" s="44"/>
      <c r="H221" s="44">
        <f t="shared" si="13"/>
        <v>62.975871567305077</v>
      </c>
      <c r="I221" s="44">
        <f t="shared" si="13"/>
        <v>68.601488635843168</v>
      </c>
      <c r="J221" s="44">
        <f t="shared" si="13"/>
        <v>57.547259650407469</v>
      </c>
      <c r="K221" s="44"/>
      <c r="L221" s="44"/>
      <c r="M221" s="44"/>
      <c r="N221" s="44"/>
    </row>
    <row r="222" spans="1:14" x14ac:dyDescent="0.2">
      <c r="A222" s="54">
        <v>47818</v>
      </c>
      <c r="B222" s="44">
        <f t="shared" si="9"/>
        <v>6.9341263551181589</v>
      </c>
      <c r="C222" s="44">
        <f t="shared" si="10"/>
        <v>2.2507049491154918</v>
      </c>
      <c r="D222" s="44">
        <f t="shared" si="11"/>
        <v>9.1848313042336507</v>
      </c>
      <c r="E222" s="44"/>
      <c r="F222" s="44"/>
      <c r="G222" s="44"/>
      <c r="H222" s="44">
        <f t="shared" si="13"/>
        <v>86.358326336153013</v>
      </c>
      <c r="I222" s="44">
        <f t="shared" si="13"/>
        <v>99.059173780845981</v>
      </c>
      <c r="J222" s="44">
        <f t="shared" si="13"/>
        <v>74.953112723225487</v>
      </c>
      <c r="K222" s="44"/>
      <c r="L222" s="44"/>
      <c r="M222" s="44"/>
      <c r="N222" s="44"/>
    </row>
    <row r="223" spans="1:14" x14ac:dyDescent="0.2">
      <c r="A223" s="54">
        <v>47849</v>
      </c>
      <c r="B223" s="44">
        <f t="shared" si="9"/>
        <v>7.0728088822205226</v>
      </c>
      <c r="C223" s="44">
        <f t="shared" si="10"/>
        <v>4.2960233841504873</v>
      </c>
      <c r="D223" s="44">
        <f t="shared" si="11"/>
        <v>11.36883226637101</v>
      </c>
      <c r="E223" s="44"/>
      <c r="F223" s="44"/>
      <c r="G223" s="44"/>
      <c r="H223" s="44">
        <f t="shared" si="13"/>
        <v>114.11771624814844</v>
      </c>
      <c r="I223" s="44">
        <f t="shared" si="13"/>
        <v>138.80452354114684</v>
      </c>
      <c r="J223" s="44">
        <f t="shared" si="13"/>
        <v>93.787612938599736</v>
      </c>
      <c r="K223" s="44"/>
      <c r="L223" s="44"/>
      <c r="M223" s="44"/>
      <c r="N223" s="44"/>
    </row>
    <row r="224" spans="1:14" x14ac:dyDescent="0.2">
      <c r="A224" s="54">
        <v>47880</v>
      </c>
      <c r="B224" s="44">
        <f t="shared" si="9"/>
        <v>7.0728088822205226</v>
      </c>
      <c r="C224" s="44">
        <f t="shared" si="10"/>
        <v>3.5683220886409064</v>
      </c>
      <c r="D224" s="44">
        <f t="shared" si="11"/>
        <v>10.641130970861429</v>
      </c>
      <c r="E224" s="44"/>
      <c r="F224" s="44"/>
      <c r="G224" s="44"/>
      <c r="H224" s="44">
        <f t="shared" ref="H224:J239" si="14">H212*(1+H$4)</f>
        <v>92.168885151344782</v>
      </c>
      <c r="I224" s="44">
        <f t="shared" si="14"/>
        <v>100.68613779458612</v>
      </c>
      <c r="J224" s="44">
        <f t="shared" si="14"/>
        <v>84.425446580638422</v>
      </c>
      <c r="K224" s="44"/>
      <c r="L224" s="44"/>
      <c r="M224" s="44"/>
      <c r="N224" s="44"/>
    </row>
    <row r="225" spans="1:14" x14ac:dyDescent="0.2">
      <c r="A225" s="54">
        <v>47908</v>
      </c>
      <c r="B225" s="44">
        <f t="shared" si="9"/>
        <v>6.6567613009134332</v>
      </c>
      <c r="C225" s="44">
        <f t="shared" si="10"/>
        <v>0.79296046414242127</v>
      </c>
      <c r="D225" s="44">
        <f t="shared" si="11"/>
        <v>7.4497217650558545</v>
      </c>
      <c r="E225" s="44"/>
      <c r="F225" s="44"/>
      <c r="G225" s="44"/>
      <c r="H225" s="44">
        <f t="shared" si="14"/>
        <v>65.07661465770444</v>
      </c>
      <c r="I225" s="44">
        <f t="shared" si="14"/>
        <v>70.871489452956624</v>
      </c>
      <c r="J225" s="44">
        <f t="shared" si="14"/>
        <v>59.402775252524613</v>
      </c>
      <c r="K225" s="44"/>
      <c r="L225" s="44"/>
      <c r="M225" s="44"/>
      <c r="N225" s="44"/>
    </row>
    <row r="226" spans="1:14" x14ac:dyDescent="0.2">
      <c r="A226" s="54">
        <v>47939</v>
      </c>
      <c r="B226" s="44">
        <f t="shared" si="9"/>
        <v>6.2407137196063411</v>
      </c>
      <c r="C226" s="44">
        <f t="shared" si="10"/>
        <v>0.27704364042243235</v>
      </c>
      <c r="D226" s="44">
        <f t="shared" si="11"/>
        <v>6.5177573600287735</v>
      </c>
      <c r="E226" s="44"/>
      <c r="F226" s="44"/>
      <c r="G226" s="44"/>
      <c r="H226" s="44">
        <f t="shared" si="14"/>
        <v>59.336465541354613</v>
      </c>
      <c r="I226" s="44">
        <f t="shared" si="14"/>
        <v>66.25817280298709</v>
      </c>
      <c r="J226" s="44">
        <f t="shared" si="14"/>
        <v>53.282205464823512</v>
      </c>
      <c r="K226" s="44"/>
      <c r="L226" s="44"/>
      <c r="M226" s="44"/>
      <c r="N226" s="44"/>
    </row>
    <row r="227" spans="1:14" x14ac:dyDescent="0.2">
      <c r="A227" s="54">
        <v>47969</v>
      </c>
      <c r="B227" s="44">
        <f t="shared" si="9"/>
        <v>6.6567613009134332</v>
      </c>
      <c r="C227" s="44">
        <f t="shared" si="10"/>
        <v>0.2893566911078711</v>
      </c>
      <c r="D227" s="44">
        <f t="shared" si="11"/>
        <v>6.9461179920213043</v>
      </c>
      <c r="E227" s="44"/>
      <c r="F227" s="44"/>
      <c r="G227" s="44"/>
      <c r="H227" s="44">
        <f t="shared" si="14"/>
        <v>64.513606548626456</v>
      </c>
      <c r="I227" s="44">
        <f t="shared" si="14"/>
        <v>74.875366257372036</v>
      </c>
      <c r="J227" s="44">
        <f t="shared" si="14"/>
        <v>55.211782804639995</v>
      </c>
      <c r="K227" s="44"/>
      <c r="L227" s="44"/>
      <c r="M227" s="44"/>
      <c r="N227" s="44"/>
    </row>
    <row r="228" spans="1:14" x14ac:dyDescent="0.2">
      <c r="A228" s="54">
        <v>48000</v>
      </c>
      <c r="B228" s="44">
        <f t="shared" si="9"/>
        <v>6.823180333436266</v>
      </c>
      <c r="C228" s="44">
        <f t="shared" si="10"/>
        <v>0.29305060631350432</v>
      </c>
      <c r="D228" s="44">
        <f t="shared" si="11"/>
        <v>7.1162309397497703</v>
      </c>
      <c r="E228" s="44"/>
      <c r="F228" s="44"/>
      <c r="G228" s="44"/>
      <c r="H228" s="44">
        <f t="shared" si="14"/>
        <v>67.657297550387455</v>
      </c>
      <c r="I228" s="44">
        <f t="shared" si="14"/>
        <v>79.258843899636688</v>
      </c>
      <c r="J228" s="44">
        <f t="shared" si="14"/>
        <v>56.559021413081048</v>
      </c>
      <c r="K228" s="44"/>
      <c r="L228" s="44"/>
      <c r="M228" s="44"/>
      <c r="N228" s="44"/>
    </row>
    <row r="229" spans="1:14" x14ac:dyDescent="0.2">
      <c r="A229" s="54">
        <v>48030</v>
      </c>
      <c r="B229" s="44">
        <f t="shared" si="9"/>
        <v>7.0728088822205226</v>
      </c>
      <c r="C229" s="44">
        <f t="shared" si="10"/>
        <v>0.30043843672476811</v>
      </c>
      <c r="D229" s="44">
        <f t="shared" si="11"/>
        <v>7.3732473189452907</v>
      </c>
      <c r="E229" s="44"/>
      <c r="F229" s="44"/>
      <c r="G229" s="44"/>
      <c r="H229" s="44">
        <f t="shared" si="14"/>
        <v>76.364024949828405</v>
      </c>
      <c r="I229" s="44">
        <f t="shared" si="14"/>
        <v>96.777421431039812</v>
      </c>
      <c r="J229" s="44">
        <f t="shared" si="14"/>
        <v>59.552692444702878</v>
      </c>
      <c r="K229" s="44"/>
      <c r="L229" s="44"/>
      <c r="M229" s="44"/>
      <c r="N229" s="44"/>
    </row>
    <row r="230" spans="1:14" x14ac:dyDescent="0.2">
      <c r="A230" s="54">
        <v>48061</v>
      </c>
      <c r="B230" s="44">
        <f t="shared" si="9"/>
        <v>7.0728088822205226</v>
      </c>
      <c r="C230" s="44">
        <f t="shared" si="10"/>
        <v>0.30782626713603367</v>
      </c>
      <c r="D230" s="44">
        <f t="shared" si="11"/>
        <v>7.3806351493565563</v>
      </c>
      <c r="E230" s="44"/>
      <c r="F230" s="44"/>
      <c r="G230" s="44"/>
      <c r="H230" s="44">
        <f t="shared" si="14"/>
        <v>67.057958627223357</v>
      </c>
      <c r="I230" s="44">
        <f t="shared" si="14"/>
        <v>75.664102255718817</v>
      </c>
      <c r="J230" s="44">
        <f t="shared" si="14"/>
        <v>58.634355827844423</v>
      </c>
      <c r="K230" s="44"/>
      <c r="L230" s="44"/>
      <c r="M230" s="44"/>
      <c r="N230" s="44"/>
    </row>
    <row r="231" spans="1:14" x14ac:dyDescent="0.2">
      <c r="A231" s="54">
        <v>48092</v>
      </c>
      <c r="B231" s="44">
        <f t="shared" si="9"/>
        <v>6.6567613009134332</v>
      </c>
      <c r="C231" s="44">
        <f t="shared" si="10"/>
        <v>0.30290104686185781</v>
      </c>
      <c r="D231" s="44">
        <f t="shared" si="11"/>
        <v>6.959662347775291</v>
      </c>
      <c r="E231" s="44"/>
      <c r="F231" s="44"/>
      <c r="G231" s="44"/>
      <c r="H231" s="44">
        <f t="shared" si="14"/>
        <v>59.672645080908062</v>
      </c>
      <c r="I231" s="44">
        <f t="shared" si="14"/>
        <v>63.661528253957563</v>
      </c>
      <c r="J231" s="44">
        <f t="shared" si="14"/>
        <v>55.750060863195472</v>
      </c>
      <c r="K231" s="44"/>
      <c r="L231" s="44"/>
      <c r="M231" s="44"/>
      <c r="N231" s="44"/>
    </row>
    <row r="232" spans="1:14" x14ac:dyDescent="0.2">
      <c r="A232" s="54">
        <v>48122</v>
      </c>
      <c r="B232" s="44">
        <f t="shared" si="9"/>
        <v>6.2407137196063411</v>
      </c>
      <c r="C232" s="44">
        <f t="shared" si="10"/>
        <v>0.3029010468618587</v>
      </c>
      <c r="D232" s="44">
        <f t="shared" si="11"/>
        <v>6.5436147664681998</v>
      </c>
      <c r="E232" s="44"/>
      <c r="F232" s="44"/>
      <c r="G232" s="44"/>
      <c r="H232" s="44">
        <f t="shared" si="14"/>
        <v>56.955004579860933</v>
      </c>
      <c r="I232" s="44">
        <f t="shared" si="14"/>
        <v>60.901917296992977</v>
      </c>
      <c r="J232" s="44">
        <f t="shared" si="14"/>
        <v>53.283846326920226</v>
      </c>
      <c r="K232" s="44"/>
      <c r="L232" s="44"/>
      <c r="M232" s="44"/>
      <c r="N232" s="44"/>
    </row>
    <row r="233" spans="1:14" x14ac:dyDescent="0.2">
      <c r="A233" s="54">
        <v>48153</v>
      </c>
      <c r="B233" s="44">
        <f t="shared" si="9"/>
        <v>6.6567613009134332</v>
      </c>
      <c r="C233" s="44">
        <f t="shared" si="10"/>
        <v>0.45392061351879498</v>
      </c>
      <c r="D233" s="44">
        <f t="shared" si="11"/>
        <v>7.1106819144322282</v>
      </c>
      <c r="E233" s="44"/>
      <c r="F233" s="44"/>
      <c r="G233" s="44"/>
      <c r="H233" s="44">
        <f t="shared" si="14"/>
        <v>64.235388998651175</v>
      </c>
      <c r="I233" s="44">
        <f t="shared" si="14"/>
        <v>69.973518408560039</v>
      </c>
      <c r="J233" s="44">
        <f t="shared" si="14"/>
        <v>58.698204843415617</v>
      </c>
      <c r="K233" s="44"/>
      <c r="L233" s="44"/>
      <c r="M233" s="44"/>
      <c r="N233" s="44"/>
    </row>
    <row r="234" spans="1:14" x14ac:dyDescent="0.2">
      <c r="A234" s="54">
        <v>48183</v>
      </c>
      <c r="B234" s="44">
        <f t="shared" si="9"/>
        <v>7.0728088822205226</v>
      </c>
      <c r="C234" s="44">
        <f t="shared" si="10"/>
        <v>2.2957190480978014</v>
      </c>
      <c r="D234" s="44">
        <f t="shared" si="11"/>
        <v>9.368527930318324</v>
      </c>
      <c r="E234" s="44"/>
      <c r="F234" s="44"/>
      <c r="G234" s="44"/>
      <c r="H234" s="44">
        <f t="shared" si="14"/>
        <v>88.08549286287608</v>
      </c>
      <c r="I234" s="44">
        <f t="shared" si="14"/>
        <v>101.0403572564629</v>
      </c>
      <c r="J234" s="44">
        <f t="shared" si="14"/>
        <v>76.452174977689992</v>
      </c>
      <c r="K234" s="44"/>
      <c r="L234" s="44"/>
      <c r="M234" s="44"/>
      <c r="N234" s="44"/>
    </row>
    <row r="235" spans="1:14" x14ac:dyDescent="0.2">
      <c r="A235" s="54">
        <v>48214</v>
      </c>
      <c r="B235" s="44">
        <f t="shared" si="9"/>
        <v>7.2142650598649336</v>
      </c>
      <c r="C235" s="44">
        <f t="shared" si="10"/>
        <v>4.3819438518334959</v>
      </c>
      <c r="D235" s="44">
        <f t="shared" si="11"/>
        <v>11.596208911698429</v>
      </c>
      <c r="E235" s="44"/>
      <c r="F235" s="44"/>
      <c r="G235" s="44"/>
      <c r="H235" s="44">
        <f t="shared" si="14"/>
        <v>116.40007057311141</v>
      </c>
      <c r="I235" s="44">
        <f t="shared" si="14"/>
        <v>141.58061401196977</v>
      </c>
      <c r="J235" s="44">
        <f t="shared" si="14"/>
        <v>95.663365197371732</v>
      </c>
      <c r="K235" s="44"/>
      <c r="L235" s="44"/>
      <c r="M235" s="44"/>
      <c r="N235" s="44"/>
    </row>
    <row r="236" spans="1:14" x14ac:dyDescent="0.2">
      <c r="A236" s="54">
        <v>48245</v>
      </c>
      <c r="B236" s="44">
        <f t="shared" si="9"/>
        <v>7.2142650598649336</v>
      </c>
      <c r="C236" s="44">
        <f t="shared" si="10"/>
        <v>3.639688530413725</v>
      </c>
      <c r="D236" s="44">
        <f t="shared" si="11"/>
        <v>10.853953590278659</v>
      </c>
      <c r="E236" s="44"/>
      <c r="F236" s="44"/>
      <c r="G236" s="44"/>
      <c r="H236" s="44">
        <f t="shared" si="14"/>
        <v>94.012262854371684</v>
      </c>
      <c r="I236" s="44">
        <f t="shared" si="14"/>
        <v>102.69986055047784</v>
      </c>
      <c r="J236" s="44">
        <f t="shared" si="14"/>
        <v>86.113955512251195</v>
      </c>
      <c r="K236" s="44"/>
      <c r="L236" s="44"/>
      <c r="M236" s="44"/>
      <c r="N236" s="44"/>
    </row>
    <row r="237" spans="1:14" x14ac:dyDescent="0.2">
      <c r="A237" s="54">
        <v>48274</v>
      </c>
      <c r="B237" s="44">
        <f t="shared" si="9"/>
        <v>6.7898965269317024</v>
      </c>
      <c r="C237" s="44">
        <f t="shared" si="10"/>
        <v>0.80881967342526906</v>
      </c>
      <c r="D237" s="44">
        <f t="shared" si="11"/>
        <v>7.5987162003569715</v>
      </c>
      <c r="E237" s="44"/>
      <c r="F237" s="44"/>
      <c r="G237" s="44"/>
      <c r="H237" s="44">
        <f t="shared" si="14"/>
        <v>66.378146950858536</v>
      </c>
      <c r="I237" s="44">
        <f t="shared" si="14"/>
        <v>72.288919242015751</v>
      </c>
      <c r="J237" s="44">
        <f t="shared" si="14"/>
        <v>60.590830757575105</v>
      </c>
      <c r="K237" s="44"/>
      <c r="L237" s="44"/>
      <c r="M237" s="44"/>
      <c r="N237" s="44"/>
    </row>
    <row r="238" spans="1:14" x14ac:dyDescent="0.2">
      <c r="A238" s="54">
        <v>48305</v>
      </c>
      <c r="B238" s="44">
        <f t="shared" si="9"/>
        <v>6.3655279939984677</v>
      </c>
      <c r="C238" s="44">
        <f t="shared" si="10"/>
        <v>0.28258451323088174</v>
      </c>
      <c r="D238" s="44">
        <f t="shared" si="11"/>
        <v>6.6481125072293494</v>
      </c>
      <c r="E238" s="44"/>
      <c r="F238" s="44"/>
      <c r="G238" s="44"/>
      <c r="H238" s="44">
        <f t="shared" si="14"/>
        <v>60.523194852181703</v>
      </c>
      <c r="I238" s="44">
        <f t="shared" si="14"/>
        <v>67.583336259046831</v>
      </c>
      <c r="J238" s="44">
        <f t="shared" si="14"/>
        <v>54.347849574119984</v>
      </c>
      <c r="K238" s="44"/>
      <c r="L238" s="44"/>
      <c r="M238" s="44"/>
      <c r="N238" s="44"/>
    </row>
    <row r="239" spans="1:14" x14ac:dyDescent="0.2">
      <c r="A239" s="54">
        <v>48335</v>
      </c>
      <c r="B239" s="44">
        <f t="shared" si="9"/>
        <v>6.7898965269317024</v>
      </c>
      <c r="C239" s="44">
        <f t="shared" si="10"/>
        <v>0.29514382493002778</v>
      </c>
      <c r="D239" s="44">
        <f t="shared" si="11"/>
        <v>7.0850403518617302</v>
      </c>
      <c r="E239" s="44"/>
      <c r="F239" s="44"/>
      <c r="G239" s="44"/>
      <c r="H239" s="44">
        <f t="shared" si="14"/>
        <v>65.803878679598981</v>
      </c>
      <c r="I239" s="44">
        <f t="shared" si="14"/>
        <v>76.372873582519475</v>
      </c>
      <c r="J239" s="44">
        <f t="shared" si="14"/>
        <v>56.316018460732799</v>
      </c>
      <c r="K239" s="44"/>
      <c r="L239" s="44"/>
      <c r="M239" s="44"/>
      <c r="N239" s="44"/>
    </row>
    <row r="240" spans="1:14" x14ac:dyDescent="0.2">
      <c r="A240" s="54">
        <v>48366</v>
      </c>
      <c r="B240" s="44">
        <f t="shared" si="9"/>
        <v>6.959643940104991</v>
      </c>
      <c r="C240" s="44">
        <f t="shared" si="10"/>
        <v>0.29891161843977443</v>
      </c>
      <c r="D240" s="44">
        <f t="shared" si="11"/>
        <v>7.2585555585447654</v>
      </c>
      <c r="E240" s="44"/>
      <c r="F240" s="44"/>
      <c r="G240" s="44"/>
      <c r="H240" s="44">
        <f t="shared" ref="H240:J255" si="15">H228*(1+H$4)</f>
        <v>69.010443501395201</v>
      </c>
      <c r="I240" s="44">
        <f t="shared" si="15"/>
        <v>80.844020777629424</v>
      </c>
      <c r="J240" s="44">
        <f t="shared" si="15"/>
        <v>57.69020184134267</v>
      </c>
      <c r="K240" s="44"/>
      <c r="L240" s="44"/>
      <c r="M240" s="44"/>
      <c r="N240" s="44"/>
    </row>
    <row r="241" spans="1:14" x14ac:dyDescent="0.2">
      <c r="A241" s="54">
        <v>48396</v>
      </c>
      <c r="B241" s="44">
        <f t="shared" si="9"/>
        <v>7.2142650598649336</v>
      </c>
      <c r="C241" s="44">
        <f t="shared" si="10"/>
        <v>0.30644720545926329</v>
      </c>
      <c r="D241" s="44">
        <f t="shared" si="11"/>
        <v>7.5207122653241969</v>
      </c>
      <c r="E241" s="44"/>
      <c r="F241" s="44"/>
      <c r="G241" s="44"/>
      <c r="H241" s="44">
        <f t="shared" si="15"/>
        <v>77.89130544882498</v>
      </c>
      <c r="I241" s="44">
        <f t="shared" si="15"/>
        <v>98.712969859660603</v>
      </c>
      <c r="J241" s="44">
        <f t="shared" si="15"/>
        <v>60.743746293596935</v>
      </c>
      <c r="K241" s="44"/>
      <c r="L241" s="44"/>
      <c r="M241" s="44"/>
      <c r="N241" s="44"/>
    </row>
    <row r="242" spans="1:14" x14ac:dyDescent="0.2">
      <c r="A242" s="54">
        <v>48427</v>
      </c>
      <c r="B242" s="44">
        <f t="shared" si="9"/>
        <v>7.2142650598649336</v>
      </c>
      <c r="C242" s="44">
        <f t="shared" si="10"/>
        <v>0.31398279247875394</v>
      </c>
      <c r="D242" s="44">
        <f t="shared" si="11"/>
        <v>7.5282478523436875</v>
      </c>
      <c r="E242" s="44"/>
      <c r="F242" s="44"/>
      <c r="G242" s="44"/>
      <c r="H242" s="44">
        <f t="shared" si="15"/>
        <v>68.399117799767822</v>
      </c>
      <c r="I242" s="44">
        <f t="shared" si="15"/>
        <v>77.177384300833197</v>
      </c>
      <c r="J242" s="44">
        <f t="shared" si="15"/>
        <v>59.80704294440131</v>
      </c>
      <c r="K242" s="44"/>
      <c r="L242" s="44"/>
      <c r="M242" s="44"/>
      <c r="N242" s="44"/>
    </row>
    <row r="243" spans="1:14" x14ac:dyDescent="0.2">
      <c r="A243" s="54">
        <v>48458</v>
      </c>
      <c r="B243" s="44">
        <f t="shared" si="9"/>
        <v>6.7898965269317024</v>
      </c>
      <c r="C243" s="44">
        <f t="shared" si="10"/>
        <v>0.3089590677990941</v>
      </c>
      <c r="D243" s="44">
        <f t="shared" si="11"/>
        <v>7.0988555947307965</v>
      </c>
      <c r="E243" s="44"/>
      <c r="F243" s="44"/>
      <c r="G243" s="44"/>
      <c r="H243" s="44">
        <f t="shared" si="15"/>
        <v>60.866097982526227</v>
      </c>
      <c r="I243" s="44">
        <f t="shared" si="15"/>
        <v>64.934758819036716</v>
      </c>
      <c r="J243" s="44">
        <f t="shared" si="15"/>
        <v>56.865062080459381</v>
      </c>
      <c r="K243" s="44"/>
      <c r="L243" s="44"/>
      <c r="M243" s="44"/>
      <c r="N243" s="44"/>
    </row>
    <row r="244" spans="1:14" x14ac:dyDescent="0.2">
      <c r="A244" s="54">
        <v>48488</v>
      </c>
      <c r="B244" s="44">
        <f t="shared" si="9"/>
        <v>6.3655279939984677</v>
      </c>
      <c r="C244" s="44">
        <f t="shared" si="10"/>
        <v>0.30895906779909588</v>
      </c>
      <c r="D244" s="44">
        <f t="shared" si="11"/>
        <v>6.6744870617975636</v>
      </c>
      <c r="E244" s="44"/>
      <c r="F244" s="44"/>
      <c r="G244" s="44"/>
      <c r="H244" s="44">
        <f t="shared" si="15"/>
        <v>58.094104671458155</v>
      </c>
      <c r="I244" s="44">
        <f t="shared" si="15"/>
        <v>62.119955642932837</v>
      </c>
      <c r="J244" s="44">
        <f t="shared" si="15"/>
        <v>54.349523253458635</v>
      </c>
      <c r="K244" s="44"/>
      <c r="L244" s="44"/>
      <c r="M244" s="44"/>
      <c r="N244" s="44"/>
    </row>
    <row r="245" spans="1:14" x14ac:dyDescent="0.2">
      <c r="A245" s="54">
        <v>48519</v>
      </c>
      <c r="B245" s="44">
        <f t="shared" si="9"/>
        <v>6.7898965269317024</v>
      </c>
      <c r="C245" s="44">
        <f t="shared" si="10"/>
        <v>0.46299902578917074</v>
      </c>
      <c r="D245" s="44">
        <f t="shared" si="11"/>
        <v>7.2528955527208732</v>
      </c>
      <c r="E245" s="44"/>
      <c r="F245" s="44"/>
      <c r="G245" s="44"/>
      <c r="H245" s="44">
        <f t="shared" si="15"/>
        <v>65.520096778624193</v>
      </c>
      <c r="I245" s="44">
        <f t="shared" si="15"/>
        <v>71.372988776731248</v>
      </c>
      <c r="J245" s="44">
        <f t="shared" si="15"/>
        <v>59.872168940283927</v>
      </c>
      <c r="K245" s="44"/>
      <c r="L245" s="44"/>
      <c r="M245" s="44"/>
      <c r="N245" s="44"/>
    </row>
    <row r="246" spans="1:14" x14ac:dyDescent="0.2">
      <c r="A246" s="54">
        <v>48549</v>
      </c>
      <c r="B246" s="44">
        <f t="shared" si="9"/>
        <v>7.2142650598649336</v>
      </c>
      <c r="C246" s="44">
        <f t="shared" si="10"/>
        <v>2.3416334290597565</v>
      </c>
      <c r="D246" s="44">
        <f t="shared" si="11"/>
        <v>9.5558984889246901</v>
      </c>
      <c r="E246" s="44"/>
      <c r="F246" s="44"/>
      <c r="G246" s="44"/>
      <c r="H246" s="44">
        <f t="shared" si="15"/>
        <v>89.847202720133609</v>
      </c>
      <c r="I246" s="44">
        <f t="shared" si="15"/>
        <v>103.06116440159215</v>
      </c>
      <c r="J246" s="44">
        <f t="shared" si="15"/>
        <v>77.9812184772438</v>
      </c>
      <c r="K246" s="44"/>
      <c r="L246" s="44"/>
      <c r="M246" s="44"/>
      <c r="N246" s="44"/>
    </row>
    <row r="247" spans="1:14" x14ac:dyDescent="0.2">
      <c r="A247" s="54">
        <v>48580</v>
      </c>
      <c r="B247" s="44">
        <f t="shared" si="9"/>
        <v>7.3585503610622327</v>
      </c>
      <c r="C247" s="44">
        <f t="shared" si="10"/>
        <v>4.4695827288701659</v>
      </c>
      <c r="D247" s="44">
        <f t="shared" si="11"/>
        <v>11.828133089932399</v>
      </c>
      <c r="E247" s="44"/>
      <c r="F247" s="44"/>
      <c r="G247" s="44"/>
      <c r="H247" s="44">
        <f t="shared" si="15"/>
        <v>118.72807198457363</v>
      </c>
      <c r="I247" s="44">
        <f t="shared" si="15"/>
        <v>144.41222629220917</v>
      </c>
      <c r="J247" s="44">
        <f t="shared" si="15"/>
        <v>97.576632501319168</v>
      </c>
      <c r="K247" s="44"/>
      <c r="L247" s="44"/>
      <c r="M247" s="44"/>
      <c r="N247" s="44"/>
    </row>
    <row r="248" spans="1:14" x14ac:dyDescent="0.2">
      <c r="A248" s="54">
        <v>48611</v>
      </c>
      <c r="B248" s="44">
        <f t="shared" si="9"/>
        <v>7.3585503610622327</v>
      </c>
      <c r="C248" s="44">
        <f t="shared" si="10"/>
        <v>3.7124823010219989</v>
      </c>
      <c r="D248" s="44">
        <f t="shared" si="11"/>
        <v>11.071032662084232</v>
      </c>
      <c r="E248" s="44"/>
      <c r="F248" s="44"/>
      <c r="G248" s="44"/>
      <c r="H248" s="44">
        <f t="shared" si="15"/>
        <v>95.892508111459122</v>
      </c>
      <c r="I248" s="44">
        <f t="shared" si="15"/>
        <v>104.7538577614874</v>
      </c>
      <c r="J248" s="44">
        <f t="shared" si="15"/>
        <v>87.836234622496221</v>
      </c>
      <c r="K248" s="44"/>
      <c r="L248" s="44"/>
      <c r="M248" s="44"/>
      <c r="N248" s="44"/>
    </row>
    <row r="249" spans="1:14" x14ac:dyDescent="0.2">
      <c r="A249" s="54">
        <v>48639</v>
      </c>
      <c r="B249" s="44">
        <f t="shared" si="9"/>
        <v>6.9256944574703363</v>
      </c>
      <c r="C249" s="44">
        <f t="shared" si="10"/>
        <v>0.82499606689377458</v>
      </c>
      <c r="D249" s="44">
        <f t="shared" si="11"/>
        <v>7.7506905243641109</v>
      </c>
      <c r="E249" s="44"/>
      <c r="F249" s="44"/>
      <c r="G249" s="44"/>
      <c r="H249" s="44">
        <f t="shared" si="15"/>
        <v>67.705709889875706</v>
      </c>
      <c r="I249" s="44">
        <f t="shared" si="15"/>
        <v>73.734697626856061</v>
      </c>
      <c r="J249" s="44">
        <f t="shared" si="15"/>
        <v>61.802647372726611</v>
      </c>
      <c r="K249" s="44"/>
      <c r="L249" s="44"/>
      <c r="M249" s="44"/>
      <c r="N249" s="44"/>
    </row>
    <row r="250" spans="1:14" x14ac:dyDescent="0.2">
      <c r="A250" s="54">
        <v>48670</v>
      </c>
      <c r="B250" s="44">
        <f t="shared" si="9"/>
        <v>6.4928385538784372</v>
      </c>
      <c r="C250" s="44">
        <f t="shared" si="10"/>
        <v>0.28823620349549905</v>
      </c>
      <c r="D250" s="44">
        <f t="shared" si="11"/>
        <v>6.7810747573739363</v>
      </c>
      <c r="E250" s="44"/>
      <c r="F250" s="44"/>
      <c r="G250" s="44"/>
      <c r="H250" s="44">
        <f t="shared" si="15"/>
        <v>61.733658749225341</v>
      </c>
      <c r="I250" s="44">
        <f t="shared" si="15"/>
        <v>68.935002984227765</v>
      </c>
      <c r="J250" s="44">
        <f t="shared" si="15"/>
        <v>55.434806565602386</v>
      </c>
      <c r="K250" s="44"/>
      <c r="L250" s="44"/>
      <c r="M250" s="44"/>
      <c r="N250" s="44"/>
    </row>
    <row r="251" spans="1:14" x14ac:dyDescent="0.2">
      <c r="A251" s="54">
        <v>48700</v>
      </c>
      <c r="B251" s="44">
        <f t="shared" si="9"/>
        <v>6.9256944574703363</v>
      </c>
      <c r="C251" s="44">
        <f t="shared" si="10"/>
        <v>0.30104670142862844</v>
      </c>
      <c r="D251" s="44">
        <f t="shared" si="11"/>
        <v>7.2267411588989647</v>
      </c>
      <c r="E251" s="44"/>
      <c r="F251" s="44"/>
      <c r="G251" s="44"/>
      <c r="H251" s="44">
        <f t="shared" si="15"/>
        <v>67.119956253190963</v>
      </c>
      <c r="I251" s="44">
        <f t="shared" si="15"/>
        <v>77.900331054169868</v>
      </c>
      <c r="J251" s="44">
        <f t="shared" si="15"/>
        <v>57.44233882994746</v>
      </c>
      <c r="K251" s="44"/>
      <c r="L251" s="44"/>
      <c r="M251" s="44"/>
      <c r="N251" s="44"/>
    </row>
    <row r="252" spans="1:14" x14ac:dyDescent="0.2">
      <c r="A252" s="54">
        <v>48731</v>
      </c>
      <c r="B252" s="44">
        <f t="shared" si="9"/>
        <v>7.098836818907091</v>
      </c>
      <c r="C252" s="44">
        <f t="shared" si="10"/>
        <v>0.30488985080856956</v>
      </c>
      <c r="D252" s="44">
        <f t="shared" si="11"/>
        <v>7.4037266697156605</v>
      </c>
      <c r="E252" s="44"/>
      <c r="F252" s="44"/>
      <c r="G252" s="44"/>
      <c r="H252" s="44">
        <f t="shared" si="15"/>
        <v>70.390652371423101</v>
      </c>
      <c r="I252" s="44">
        <f t="shared" si="15"/>
        <v>82.460901193182011</v>
      </c>
      <c r="J252" s="44">
        <f t="shared" si="15"/>
        <v>58.844005878169526</v>
      </c>
      <c r="K252" s="44"/>
      <c r="L252" s="44"/>
      <c r="M252" s="44"/>
      <c r="N252" s="44"/>
    </row>
    <row r="253" spans="1:14" x14ac:dyDescent="0.2">
      <c r="A253" s="54">
        <v>48761</v>
      </c>
      <c r="B253" s="44">
        <f t="shared" si="9"/>
        <v>7.3585503610622327</v>
      </c>
      <c r="C253" s="44">
        <f t="shared" si="10"/>
        <v>0.31257614956844826</v>
      </c>
      <c r="D253" s="44">
        <f t="shared" si="11"/>
        <v>7.671126510630681</v>
      </c>
      <c r="E253" s="44"/>
      <c r="F253" s="44"/>
      <c r="G253" s="44"/>
      <c r="H253" s="44">
        <f t="shared" si="15"/>
        <v>79.449131557801479</v>
      </c>
      <c r="I253" s="44">
        <f t="shared" si="15"/>
        <v>100.68722925685381</v>
      </c>
      <c r="J253" s="44">
        <f t="shared" si="15"/>
        <v>61.958621219468874</v>
      </c>
      <c r="K253" s="44"/>
      <c r="L253" s="44"/>
      <c r="M253" s="44"/>
      <c r="N253" s="44"/>
    </row>
    <row r="254" spans="1:14" x14ac:dyDescent="0.2">
      <c r="A254" s="54">
        <v>48792</v>
      </c>
      <c r="B254" s="44">
        <f t="shared" si="9"/>
        <v>7.3585503610622327</v>
      </c>
      <c r="C254" s="44">
        <f t="shared" si="10"/>
        <v>0.32026244832832873</v>
      </c>
      <c r="D254" s="44">
        <f t="shared" si="11"/>
        <v>7.6788128093905614</v>
      </c>
      <c r="E254" s="44"/>
      <c r="F254" s="44"/>
      <c r="G254" s="44"/>
      <c r="H254" s="44">
        <f t="shared" si="15"/>
        <v>69.767100155763174</v>
      </c>
      <c r="I254" s="44">
        <f t="shared" si="15"/>
        <v>78.720931986849862</v>
      </c>
      <c r="J254" s="44">
        <f t="shared" si="15"/>
        <v>61.003183803289339</v>
      </c>
      <c r="K254" s="44"/>
      <c r="L254" s="44"/>
      <c r="M254" s="44"/>
      <c r="N254" s="44"/>
    </row>
    <row r="255" spans="1:14" x14ac:dyDescent="0.2">
      <c r="A255" s="54">
        <v>48823</v>
      </c>
      <c r="B255" s="44">
        <f t="shared" si="9"/>
        <v>6.9256944574703363</v>
      </c>
      <c r="C255" s="44">
        <f t="shared" si="10"/>
        <v>0.31513824915507627</v>
      </c>
      <c r="D255" s="44">
        <f t="shared" si="11"/>
        <v>7.2408327066254126</v>
      </c>
      <c r="E255" s="44"/>
      <c r="F255" s="44"/>
      <c r="G255" s="44"/>
      <c r="H255" s="44">
        <f t="shared" si="15"/>
        <v>62.083419942176754</v>
      </c>
      <c r="I255" s="44">
        <f t="shared" si="15"/>
        <v>66.233453995417449</v>
      </c>
      <c r="J255" s="44">
        <f t="shared" si="15"/>
        <v>58.002363322068568</v>
      </c>
      <c r="K255" s="44"/>
      <c r="L255" s="44"/>
      <c r="M255" s="44"/>
      <c r="N255" s="44"/>
    </row>
    <row r="256" spans="1:14" x14ac:dyDescent="0.2">
      <c r="A256" s="54">
        <v>48853</v>
      </c>
      <c r="B256" s="44">
        <f t="shared" ref="B256:B319" si="16">B244*(1+B$4)</f>
        <v>6.4928385538784372</v>
      </c>
      <c r="C256" s="44">
        <f t="shared" ref="C256:C319" si="17">D256-B256</f>
        <v>0.31513824915507804</v>
      </c>
      <c r="D256" s="44">
        <f t="shared" ref="D256:D319" si="18">D244*(1+D$4)</f>
        <v>6.8079768030335153</v>
      </c>
      <c r="E256" s="44"/>
      <c r="F256" s="44"/>
      <c r="G256" s="44"/>
      <c r="H256" s="44">
        <f t="shared" ref="H256:J271" si="19">H244*(1+H$4)</f>
        <v>59.255986764887318</v>
      </c>
      <c r="I256" s="44">
        <f t="shared" si="19"/>
        <v>63.362354755791493</v>
      </c>
      <c r="J256" s="44">
        <f t="shared" si="19"/>
        <v>55.436513718527806</v>
      </c>
      <c r="K256" s="44"/>
      <c r="L256" s="44"/>
      <c r="M256" s="44"/>
      <c r="N256" s="44"/>
    </row>
    <row r="257" spans="1:14" x14ac:dyDescent="0.2">
      <c r="A257" s="54">
        <v>48884</v>
      </c>
      <c r="B257" s="44">
        <f t="shared" si="16"/>
        <v>6.9256944574703363</v>
      </c>
      <c r="C257" s="44">
        <f t="shared" si="17"/>
        <v>0.4722590063049541</v>
      </c>
      <c r="D257" s="44">
        <f t="shared" si="18"/>
        <v>7.3979534637752904</v>
      </c>
      <c r="E257" s="44"/>
      <c r="F257" s="44"/>
      <c r="G257" s="44"/>
      <c r="H257" s="44">
        <f t="shared" si="19"/>
        <v>66.830498714196679</v>
      </c>
      <c r="I257" s="44">
        <f t="shared" si="19"/>
        <v>72.800448552265877</v>
      </c>
      <c r="J257" s="44">
        <f t="shared" si="19"/>
        <v>61.069612319089607</v>
      </c>
      <c r="K257" s="44"/>
      <c r="L257" s="44"/>
      <c r="M257" s="44"/>
      <c r="N257" s="44"/>
    </row>
    <row r="258" spans="1:14" x14ac:dyDescent="0.2">
      <c r="A258" s="54">
        <v>48914</v>
      </c>
      <c r="B258" s="44">
        <f t="shared" si="16"/>
        <v>7.3585503610622327</v>
      </c>
      <c r="C258" s="44">
        <f t="shared" si="17"/>
        <v>2.3884660976409515</v>
      </c>
      <c r="D258" s="44">
        <f t="shared" si="18"/>
        <v>9.7470164587031842</v>
      </c>
      <c r="E258" s="44"/>
      <c r="F258" s="44"/>
      <c r="G258" s="44"/>
      <c r="H258" s="44">
        <f t="shared" si="19"/>
        <v>91.644146774536281</v>
      </c>
      <c r="I258" s="44">
        <f t="shared" si="19"/>
        <v>105.12238768962399</v>
      </c>
      <c r="J258" s="44">
        <f t="shared" si="19"/>
        <v>79.540842846788678</v>
      </c>
      <c r="K258" s="44"/>
      <c r="L258" s="44"/>
      <c r="M258" s="44"/>
      <c r="N258" s="44"/>
    </row>
    <row r="259" spans="1:14" x14ac:dyDescent="0.2">
      <c r="A259" s="54">
        <v>48945</v>
      </c>
      <c r="B259" s="44">
        <f t="shared" si="16"/>
        <v>7.5057213682834778</v>
      </c>
      <c r="C259" s="44">
        <f t="shared" si="17"/>
        <v>4.5589743834475698</v>
      </c>
      <c r="D259" s="44">
        <f t="shared" si="18"/>
        <v>12.064695751731048</v>
      </c>
      <c r="E259" s="44"/>
      <c r="F259" s="44"/>
      <c r="G259" s="44"/>
      <c r="H259" s="44">
        <f t="shared" si="19"/>
        <v>121.10263342426511</v>
      </c>
      <c r="I259" s="44">
        <f t="shared" si="19"/>
        <v>147.30047081805336</v>
      </c>
      <c r="J259" s="44">
        <f t="shared" si="19"/>
        <v>99.528165151345547</v>
      </c>
      <c r="K259" s="44"/>
      <c r="L259" s="44"/>
      <c r="M259" s="44"/>
      <c r="N259" s="44"/>
    </row>
    <row r="260" spans="1:14" x14ac:dyDescent="0.2">
      <c r="A260" s="54">
        <v>48976</v>
      </c>
      <c r="B260" s="44">
        <f t="shared" si="16"/>
        <v>7.5057213682834778</v>
      </c>
      <c r="C260" s="44">
        <f t="shared" si="17"/>
        <v>3.7867319470424388</v>
      </c>
      <c r="D260" s="44">
        <f t="shared" si="18"/>
        <v>11.292453315325917</v>
      </c>
      <c r="E260" s="44"/>
      <c r="F260" s="44"/>
      <c r="G260" s="44"/>
      <c r="H260" s="44">
        <f t="shared" si="19"/>
        <v>97.810358273688308</v>
      </c>
      <c r="I260" s="44">
        <f t="shared" si="19"/>
        <v>106.84893491671714</v>
      </c>
      <c r="J260" s="44">
        <f t="shared" si="19"/>
        <v>89.592959314946143</v>
      </c>
      <c r="K260" s="44"/>
      <c r="L260" s="44"/>
      <c r="M260" s="44"/>
      <c r="N260" s="44"/>
    </row>
    <row r="261" spans="1:14" x14ac:dyDescent="0.2">
      <c r="A261" s="54">
        <v>49004</v>
      </c>
      <c r="B261" s="44">
        <f t="shared" si="16"/>
        <v>7.0642083466197434</v>
      </c>
      <c r="C261" s="44">
        <f t="shared" si="17"/>
        <v>0.84149598823164951</v>
      </c>
      <c r="D261" s="44">
        <f t="shared" si="18"/>
        <v>7.9057043348513929</v>
      </c>
      <c r="E261" s="44"/>
      <c r="F261" s="44"/>
      <c r="G261" s="44"/>
      <c r="H261" s="44">
        <f t="shared" si="19"/>
        <v>69.059824087673221</v>
      </c>
      <c r="I261" s="44">
        <f t="shared" si="19"/>
        <v>75.209391579393184</v>
      </c>
      <c r="J261" s="44">
        <f t="shared" si="19"/>
        <v>63.038700320181142</v>
      </c>
      <c r="K261" s="44"/>
      <c r="L261" s="44"/>
      <c r="M261" s="44"/>
      <c r="N261" s="44"/>
    </row>
    <row r="262" spans="1:14" x14ac:dyDescent="0.2">
      <c r="A262" s="54">
        <v>49035</v>
      </c>
      <c r="B262" s="44">
        <f t="shared" si="16"/>
        <v>6.6226953249560063</v>
      </c>
      <c r="C262" s="44">
        <f t="shared" si="17"/>
        <v>0.29400092756540896</v>
      </c>
      <c r="D262" s="44">
        <f t="shared" si="18"/>
        <v>6.9166962525214153</v>
      </c>
      <c r="E262" s="44"/>
      <c r="F262" s="44"/>
      <c r="G262" s="44"/>
      <c r="H262" s="44">
        <f t="shared" si="19"/>
        <v>62.968331924209849</v>
      </c>
      <c r="I262" s="44">
        <f t="shared" si="19"/>
        <v>70.313703043912327</v>
      </c>
      <c r="J262" s="44">
        <f t="shared" si="19"/>
        <v>56.543502696914437</v>
      </c>
      <c r="K262" s="44"/>
      <c r="L262" s="44"/>
      <c r="M262" s="44"/>
      <c r="N262" s="44"/>
    </row>
    <row r="263" spans="1:14" x14ac:dyDescent="0.2">
      <c r="A263" s="54">
        <v>49065</v>
      </c>
      <c r="B263" s="44">
        <f t="shared" si="16"/>
        <v>7.0642083466197434</v>
      </c>
      <c r="C263" s="44">
        <f t="shared" si="17"/>
        <v>0.30706763545720062</v>
      </c>
      <c r="D263" s="44">
        <f t="shared" si="18"/>
        <v>7.371275982076944</v>
      </c>
      <c r="E263" s="44"/>
      <c r="F263" s="44"/>
      <c r="G263" s="44"/>
      <c r="H263" s="44">
        <f t="shared" si="19"/>
        <v>68.462355378254784</v>
      </c>
      <c r="I263" s="44">
        <f t="shared" si="19"/>
        <v>79.458337675253262</v>
      </c>
      <c r="J263" s="44">
        <f t="shared" si="19"/>
        <v>58.591185606546411</v>
      </c>
      <c r="K263" s="44"/>
      <c r="L263" s="44"/>
      <c r="M263" s="44"/>
      <c r="N263" s="44"/>
    </row>
    <row r="264" spans="1:14" x14ac:dyDescent="0.2">
      <c r="A264" s="54">
        <v>49096</v>
      </c>
      <c r="B264" s="44">
        <f t="shared" si="16"/>
        <v>7.2408135552852331</v>
      </c>
      <c r="C264" s="44">
        <f t="shared" si="17"/>
        <v>0.31098764782474042</v>
      </c>
      <c r="D264" s="44">
        <f t="shared" si="18"/>
        <v>7.5518012031099735</v>
      </c>
      <c r="E264" s="44"/>
      <c r="F264" s="44"/>
      <c r="G264" s="44"/>
      <c r="H264" s="44">
        <f t="shared" si="19"/>
        <v>71.798465418851563</v>
      </c>
      <c r="I264" s="44">
        <f t="shared" si="19"/>
        <v>84.11011921704565</v>
      </c>
      <c r="J264" s="44">
        <f t="shared" si="19"/>
        <v>60.020885995732918</v>
      </c>
      <c r="K264" s="44"/>
      <c r="L264" s="44"/>
      <c r="M264" s="44"/>
      <c r="N264" s="44"/>
    </row>
    <row r="265" spans="1:14" x14ac:dyDescent="0.2">
      <c r="A265" s="54">
        <v>49126</v>
      </c>
      <c r="B265" s="44">
        <f t="shared" si="16"/>
        <v>7.5057213682834778</v>
      </c>
      <c r="C265" s="44">
        <f t="shared" si="17"/>
        <v>0.31882767255981648</v>
      </c>
      <c r="D265" s="44">
        <f t="shared" si="18"/>
        <v>7.8245490408432943</v>
      </c>
      <c r="E265" s="44"/>
      <c r="F265" s="44"/>
      <c r="G265" s="44"/>
      <c r="H265" s="44">
        <f t="shared" si="19"/>
        <v>81.038114188957508</v>
      </c>
      <c r="I265" s="44">
        <f t="shared" si="19"/>
        <v>102.70097384199089</v>
      </c>
      <c r="J265" s="44">
        <f t="shared" si="19"/>
        <v>63.197793643858255</v>
      </c>
      <c r="K265" s="44"/>
      <c r="L265" s="44"/>
      <c r="M265" s="44"/>
      <c r="N265" s="44"/>
    </row>
    <row r="266" spans="1:14" x14ac:dyDescent="0.2">
      <c r="A266" s="54">
        <v>49157</v>
      </c>
      <c r="B266" s="44">
        <f t="shared" si="16"/>
        <v>7.5057213682834778</v>
      </c>
      <c r="C266" s="44">
        <f t="shared" si="17"/>
        <v>0.3266676972948952</v>
      </c>
      <c r="D266" s="44">
        <f t="shared" si="18"/>
        <v>7.832389065578373</v>
      </c>
      <c r="E266" s="44"/>
      <c r="F266" s="44"/>
      <c r="G266" s="44"/>
      <c r="H266" s="44">
        <f t="shared" si="19"/>
        <v>71.162442158878434</v>
      </c>
      <c r="I266" s="44">
        <f t="shared" si="19"/>
        <v>80.295350626586867</v>
      </c>
      <c r="J266" s="44">
        <f t="shared" si="19"/>
        <v>62.223247479355123</v>
      </c>
      <c r="K266" s="44"/>
      <c r="L266" s="44"/>
      <c r="M266" s="44"/>
      <c r="N266" s="44"/>
    </row>
    <row r="267" spans="1:14" x14ac:dyDescent="0.2">
      <c r="A267" s="54">
        <v>49188</v>
      </c>
      <c r="B267" s="44">
        <f t="shared" si="16"/>
        <v>7.0642083466197434</v>
      </c>
      <c r="C267" s="44">
        <f t="shared" si="17"/>
        <v>0.32144101413817783</v>
      </c>
      <c r="D267" s="44">
        <f t="shared" si="18"/>
        <v>7.3856493607579212</v>
      </c>
      <c r="E267" s="44"/>
      <c r="F267" s="44"/>
      <c r="G267" s="44"/>
      <c r="H267" s="44">
        <f t="shared" si="19"/>
        <v>63.32508834102029</v>
      </c>
      <c r="I267" s="44">
        <f t="shared" si="19"/>
        <v>67.558123075325796</v>
      </c>
      <c r="J267" s="44">
        <f t="shared" si="19"/>
        <v>59.162410588509942</v>
      </c>
      <c r="K267" s="44"/>
      <c r="L267" s="44"/>
      <c r="M267" s="44"/>
      <c r="N267" s="44"/>
    </row>
    <row r="268" spans="1:14" x14ac:dyDescent="0.2">
      <c r="A268" s="54">
        <v>49218</v>
      </c>
      <c r="B268" s="44">
        <f t="shared" si="16"/>
        <v>6.6226953249560063</v>
      </c>
      <c r="C268" s="44">
        <f t="shared" si="17"/>
        <v>0.3214410141381796</v>
      </c>
      <c r="D268" s="44">
        <f t="shared" si="18"/>
        <v>6.9441363390941859</v>
      </c>
      <c r="E268" s="44"/>
      <c r="F268" s="44"/>
      <c r="G268" s="44"/>
      <c r="H268" s="44">
        <f t="shared" si="19"/>
        <v>60.441106500185064</v>
      </c>
      <c r="I268" s="44">
        <f t="shared" si="19"/>
        <v>64.629601850907321</v>
      </c>
      <c r="J268" s="44">
        <f t="shared" si="19"/>
        <v>56.545243992898364</v>
      </c>
      <c r="K268" s="44"/>
      <c r="L268" s="44"/>
      <c r="M268" s="44"/>
      <c r="N268" s="44"/>
    </row>
    <row r="269" spans="1:14" x14ac:dyDescent="0.2">
      <c r="A269" s="54">
        <v>49249</v>
      </c>
      <c r="B269" s="44">
        <f t="shared" si="16"/>
        <v>7.0642083466197434</v>
      </c>
      <c r="C269" s="44">
        <f t="shared" si="17"/>
        <v>0.48170418643105251</v>
      </c>
      <c r="D269" s="44">
        <f t="shared" si="18"/>
        <v>7.5459125330507959</v>
      </c>
      <c r="E269" s="44"/>
      <c r="F269" s="44"/>
      <c r="G269" s="44"/>
      <c r="H269" s="44">
        <f t="shared" si="19"/>
        <v>68.16710868848061</v>
      </c>
      <c r="I269" s="44">
        <f t="shared" si="19"/>
        <v>74.256457523311198</v>
      </c>
      <c r="J269" s="44">
        <f t="shared" si="19"/>
        <v>62.291004565471404</v>
      </c>
      <c r="K269" s="44"/>
      <c r="L269" s="44"/>
      <c r="M269" s="44"/>
      <c r="N269" s="44"/>
    </row>
    <row r="270" spans="1:14" x14ac:dyDescent="0.2">
      <c r="A270" s="54">
        <v>49279</v>
      </c>
      <c r="B270" s="44">
        <f t="shared" si="16"/>
        <v>7.5057213682834778</v>
      </c>
      <c r="C270" s="44">
        <f t="shared" si="17"/>
        <v>2.4362354195937694</v>
      </c>
      <c r="D270" s="44">
        <f t="shared" si="18"/>
        <v>9.9419567878772472</v>
      </c>
      <c r="E270" s="44"/>
      <c r="F270" s="44"/>
      <c r="G270" s="44"/>
      <c r="H270" s="44">
        <f t="shared" si="19"/>
        <v>93.477029710027011</v>
      </c>
      <c r="I270" s="44">
        <f t="shared" si="19"/>
        <v>107.22483544341647</v>
      </c>
      <c r="J270" s="44">
        <f t="shared" si="19"/>
        <v>81.131659703724452</v>
      </c>
      <c r="K270" s="44"/>
      <c r="L270" s="44"/>
      <c r="M270" s="44"/>
      <c r="N270" s="44"/>
    </row>
    <row r="271" spans="1:14" x14ac:dyDescent="0.2">
      <c r="A271" s="54">
        <v>49310</v>
      </c>
      <c r="B271" s="44">
        <f t="shared" si="16"/>
        <v>7.6558357956491472</v>
      </c>
      <c r="C271" s="44">
        <f t="shared" si="17"/>
        <v>4.6501538711165216</v>
      </c>
      <c r="D271" s="44">
        <f t="shared" si="18"/>
        <v>12.305989666765669</v>
      </c>
      <c r="E271" s="44"/>
      <c r="F271" s="44"/>
      <c r="G271" s="44"/>
      <c r="H271" s="44">
        <f t="shared" si="19"/>
        <v>123.52468609275041</v>
      </c>
      <c r="I271" s="44">
        <f t="shared" si="19"/>
        <v>150.24648023441443</v>
      </c>
      <c r="J271" s="44">
        <f t="shared" si="19"/>
        <v>101.51872845437246</v>
      </c>
      <c r="K271" s="44"/>
      <c r="L271" s="44"/>
      <c r="M271" s="44"/>
      <c r="N271" s="44"/>
    </row>
    <row r="272" spans="1:14" x14ac:dyDescent="0.2">
      <c r="A272" s="54">
        <v>49341</v>
      </c>
      <c r="B272" s="44">
        <f t="shared" si="16"/>
        <v>7.6558357956491472</v>
      </c>
      <c r="C272" s="44">
        <f t="shared" si="17"/>
        <v>3.8624665859832872</v>
      </c>
      <c r="D272" s="44">
        <f t="shared" si="18"/>
        <v>11.518302381632434</v>
      </c>
      <c r="E272" s="44"/>
      <c r="F272" s="44"/>
      <c r="G272" s="44"/>
      <c r="H272" s="44">
        <f t="shared" ref="H272:J287" si="20">H260*(1+H$4)</f>
        <v>99.766565439162079</v>
      </c>
      <c r="I272" s="44">
        <f t="shared" si="20"/>
        <v>108.98591361505149</v>
      </c>
      <c r="J272" s="44">
        <f t="shared" si="20"/>
        <v>91.384818501245064</v>
      </c>
      <c r="K272" s="44"/>
      <c r="L272" s="44"/>
      <c r="M272" s="44"/>
      <c r="N272" s="44"/>
    </row>
    <row r="273" spans="1:14" x14ac:dyDescent="0.2">
      <c r="A273" s="54">
        <v>49369</v>
      </c>
      <c r="B273" s="44">
        <f t="shared" si="16"/>
        <v>7.2054925135521382</v>
      </c>
      <c r="C273" s="44">
        <f t="shared" si="17"/>
        <v>0.85832590799628239</v>
      </c>
      <c r="D273" s="44">
        <f t="shared" si="18"/>
        <v>8.0638184215484205</v>
      </c>
      <c r="E273" s="44"/>
      <c r="F273" s="44"/>
      <c r="G273" s="44"/>
      <c r="H273" s="44">
        <f t="shared" si="20"/>
        <v>70.441020569426684</v>
      </c>
      <c r="I273" s="44">
        <f t="shared" si="20"/>
        <v>76.713579410981055</v>
      </c>
      <c r="J273" s="44">
        <f t="shared" si="20"/>
        <v>64.299474326584772</v>
      </c>
      <c r="K273" s="44"/>
      <c r="L273" s="44"/>
      <c r="M273" s="44"/>
      <c r="N273" s="44"/>
    </row>
    <row r="274" spans="1:14" x14ac:dyDescent="0.2">
      <c r="A274" s="54">
        <v>49400</v>
      </c>
      <c r="B274" s="44">
        <f t="shared" si="16"/>
        <v>6.7551492314551265</v>
      </c>
      <c r="C274" s="44">
        <f t="shared" si="17"/>
        <v>0.29988094611671734</v>
      </c>
      <c r="D274" s="44">
        <f t="shared" si="18"/>
        <v>7.0550301775718438</v>
      </c>
      <c r="E274" s="44"/>
      <c r="F274" s="44"/>
      <c r="G274" s="44"/>
      <c r="H274" s="44">
        <f t="shared" si="20"/>
        <v>64.227698562694044</v>
      </c>
      <c r="I274" s="44">
        <f t="shared" si="20"/>
        <v>71.719977104790573</v>
      </c>
      <c r="J274" s="44">
        <f t="shared" si="20"/>
        <v>57.674372750852726</v>
      </c>
      <c r="K274" s="44"/>
      <c r="L274" s="44"/>
      <c r="M274" s="44"/>
      <c r="N274" s="44"/>
    </row>
    <row r="275" spans="1:14" x14ac:dyDescent="0.2">
      <c r="A275" s="54">
        <v>49430</v>
      </c>
      <c r="B275" s="44">
        <f t="shared" si="16"/>
        <v>7.2054925135521382</v>
      </c>
      <c r="C275" s="44">
        <f t="shared" si="17"/>
        <v>0.31320898816634468</v>
      </c>
      <c r="D275" s="44">
        <f t="shared" si="18"/>
        <v>7.5187015017184828</v>
      </c>
      <c r="E275" s="44"/>
      <c r="F275" s="44"/>
      <c r="G275" s="44"/>
      <c r="H275" s="44">
        <f t="shared" si="20"/>
        <v>69.831602485819886</v>
      </c>
      <c r="I275" s="44">
        <f t="shared" si="20"/>
        <v>81.04750442875833</v>
      </c>
      <c r="J275" s="44">
        <f t="shared" si="20"/>
        <v>59.763009318677341</v>
      </c>
      <c r="K275" s="44"/>
      <c r="L275" s="44"/>
      <c r="M275" s="44"/>
      <c r="N275" s="44"/>
    </row>
    <row r="276" spans="1:14" x14ac:dyDescent="0.2">
      <c r="A276" s="54">
        <v>49461</v>
      </c>
      <c r="B276" s="44">
        <f t="shared" si="16"/>
        <v>7.3856298263909377</v>
      </c>
      <c r="C276" s="44">
        <f t="shared" si="17"/>
        <v>0.31720740078123555</v>
      </c>
      <c r="D276" s="44">
        <f t="shared" si="18"/>
        <v>7.7028372271721732</v>
      </c>
      <c r="E276" s="44"/>
      <c r="F276" s="44"/>
      <c r="G276" s="44"/>
      <c r="H276" s="44">
        <f t="shared" si="20"/>
        <v>73.234434727228603</v>
      </c>
      <c r="I276" s="44">
        <f t="shared" si="20"/>
        <v>85.792321601386561</v>
      </c>
      <c r="J276" s="44">
        <f t="shared" si="20"/>
        <v>61.221303715647579</v>
      </c>
      <c r="K276" s="44"/>
      <c r="L276" s="44"/>
      <c r="M276" s="44"/>
      <c r="N276" s="44"/>
    </row>
    <row r="277" spans="1:14" x14ac:dyDescent="0.2">
      <c r="A277" s="54">
        <v>49491</v>
      </c>
      <c r="B277" s="44">
        <f t="shared" si="16"/>
        <v>7.6558357956491472</v>
      </c>
      <c r="C277" s="44">
        <f t="shared" si="17"/>
        <v>0.32520422601101284</v>
      </c>
      <c r="D277" s="44">
        <f t="shared" si="18"/>
        <v>7.98104002166016</v>
      </c>
      <c r="E277" s="44"/>
      <c r="F277" s="44"/>
      <c r="G277" s="44"/>
      <c r="H277" s="44">
        <f t="shared" si="20"/>
        <v>82.658876472736665</v>
      </c>
      <c r="I277" s="44">
        <f t="shared" si="20"/>
        <v>104.75499331883071</v>
      </c>
      <c r="J277" s="44">
        <f t="shared" si="20"/>
        <v>64.461749516735424</v>
      </c>
      <c r="K277" s="44"/>
      <c r="L277" s="44"/>
      <c r="M277" s="44"/>
      <c r="N277" s="44"/>
    </row>
    <row r="278" spans="1:14" x14ac:dyDescent="0.2">
      <c r="A278" s="54">
        <v>49522</v>
      </c>
      <c r="B278" s="44">
        <f t="shared" si="16"/>
        <v>7.6558357956491472</v>
      </c>
      <c r="C278" s="44">
        <f t="shared" si="17"/>
        <v>0.33320105124079369</v>
      </c>
      <c r="D278" s="44">
        <f t="shared" si="18"/>
        <v>7.9890368468899409</v>
      </c>
      <c r="E278" s="44"/>
      <c r="F278" s="44"/>
      <c r="G278" s="44"/>
      <c r="H278" s="44">
        <f t="shared" si="20"/>
        <v>72.585691002056009</v>
      </c>
      <c r="I278" s="44">
        <f t="shared" si="20"/>
        <v>81.901257639118612</v>
      </c>
      <c r="J278" s="44">
        <f t="shared" si="20"/>
        <v>63.467712428942228</v>
      </c>
      <c r="K278" s="44"/>
      <c r="L278" s="44"/>
      <c r="M278" s="44"/>
      <c r="N278" s="44"/>
    </row>
    <row r="279" spans="1:14" x14ac:dyDescent="0.2">
      <c r="A279" s="54">
        <v>49553</v>
      </c>
      <c r="B279" s="44">
        <f t="shared" si="16"/>
        <v>7.2054925135521382</v>
      </c>
      <c r="C279" s="44">
        <f t="shared" si="17"/>
        <v>0.32786983442094186</v>
      </c>
      <c r="D279" s="44">
        <f t="shared" si="18"/>
        <v>7.53336234797308</v>
      </c>
      <c r="E279" s="44"/>
      <c r="F279" s="44"/>
      <c r="G279" s="44"/>
      <c r="H279" s="44">
        <f t="shared" si="20"/>
        <v>64.591590107840702</v>
      </c>
      <c r="I279" s="44">
        <f t="shared" si="20"/>
        <v>68.909285536832314</v>
      </c>
      <c r="J279" s="44">
        <f t="shared" si="20"/>
        <v>60.345658800280141</v>
      </c>
      <c r="K279" s="44"/>
      <c r="L279" s="44"/>
      <c r="M279" s="44"/>
      <c r="N279" s="44"/>
    </row>
    <row r="280" spans="1:14" x14ac:dyDescent="0.2">
      <c r="A280" s="54">
        <v>49583</v>
      </c>
      <c r="B280" s="44">
        <f t="shared" si="16"/>
        <v>6.7551492314551265</v>
      </c>
      <c r="C280" s="44">
        <f t="shared" si="17"/>
        <v>0.32786983442094364</v>
      </c>
      <c r="D280" s="44">
        <f t="shared" si="18"/>
        <v>7.0830190658760701</v>
      </c>
      <c r="E280" s="44"/>
      <c r="F280" s="44"/>
      <c r="G280" s="44"/>
      <c r="H280" s="44">
        <f t="shared" si="20"/>
        <v>61.649928630188768</v>
      </c>
      <c r="I280" s="44">
        <f t="shared" si="20"/>
        <v>65.922193887925474</v>
      </c>
      <c r="J280" s="44">
        <f t="shared" si="20"/>
        <v>57.676148872756329</v>
      </c>
      <c r="K280" s="44"/>
      <c r="L280" s="44"/>
      <c r="M280" s="44"/>
      <c r="N280" s="44"/>
    </row>
    <row r="281" spans="1:14" x14ac:dyDescent="0.2">
      <c r="A281" s="54">
        <v>49614</v>
      </c>
      <c r="B281" s="44">
        <f t="shared" si="16"/>
        <v>7.2054925135521382</v>
      </c>
      <c r="C281" s="44">
        <f t="shared" si="17"/>
        <v>0.49133827015967402</v>
      </c>
      <c r="D281" s="44">
        <f t="shared" si="18"/>
        <v>7.6968307837118122</v>
      </c>
      <c r="E281" s="44"/>
      <c r="F281" s="44"/>
      <c r="G281" s="44"/>
      <c r="H281" s="44">
        <f t="shared" si="20"/>
        <v>69.53045086225022</v>
      </c>
      <c r="I281" s="44">
        <f t="shared" si="20"/>
        <v>75.741586673777419</v>
      </c>
      <c r="J281" s="44">
        <f t="shared" si="20"/>
        <v>63.53682465678083</v>
      </c>
      <c r="K281" s="44"/>
      <c r="L281" s="44"/>
      <c r="M281" s="44"/>
      <c r="N281" s="44"/>
    </row>
    <row r="282" spans="1:14" x14ac:dyDescent="0.2">
      <c r="A282" s="54">
        <v>49644</v>
      </c>
      <c r="B282" s="44">
        <f t="shared" si="16"/>
        <v>7.6558357956491472</v>
      </c>
      <c r="C282" s="44">
        <f t="shared" si="17"/>
        <v>2.4849601279856453</v>
      </c>
      <c r="D282" s="44">
        <f t="shared" si="18"/>
        <v>10.140795923634792</v>
      </c>
      <c r="E282" s="44"/>
      <c r="F282" s="44"/>
      <c r="G282" s="44"/>
      <c r="H282" s="44">
        <f t="shared" si="20"/>
        <v>95.346570304227555</v>
      </c>
      <c r="I282" s="44">
        <f t="shared" si="20"/>
        <v>109.3693321522848</v>
      </c>
      <c r="J282" s="44">
        <f t="shared" si="20"/>
        <v>82.754292897798948</v>
      </c>
      <c r="K282" s="44"/>
      <c r="L282" s="44"/>
      <c r="M282" s="44"/>
      <c r="N282" s="44"/>
    </row>
    <row r="283" spans="1:14" x14ac:dyDescent="0.2">
      <c r="A283" s="54">
        <v>49675</v>
      </c>
      <c r="B283" s="44">
        <f t="shared" si="16"/>
        <v>7.8089525115621301</v>
      </c>
      <c r="C283" s="44">
        <f t="shared" si="17"/>
        <v>4.7431569485388527</v>
      </c>
      <c r="D283" s="44">
        <f t="shared" si="18"/>
        <v>12.552109460100983</v>
      </c>
      <c r="E283" s="44"/>
      <c r="F283" s="44"/>
      <c r="G283" s="44"/>
      <c r="H283" s="44">
        <f t="shared" si="20"/>
        <v>125.99517981460542</v>
      </c>
      <c r="I283" s="44">
        <f t="shared" si="20"/>
        <v>153.25140983910273</v>
      </c>
      <c r="J283" s="44">
        <f t="shared" si="20"/>
        <v>103.54910302345992</v>
      </c>
      <c r="K283" s="44"/>
      <c r="L283" s="44"/>
      <c r="M283" s="44"/>
      <c r="N283" s="44"/>
    </row>
    <row r="284" spans="1:14" x14ac:dyDescent="0.2">
      <c r="A284" s="54">
        <v>49706</v>
      </c>
      <c r="B284" s="44">
        <f t="shared" si="16"/>
        <v>7.8089525115621301</v>
      </c>
      <c r="C284" s="44">
        <f t="shared" si="17"/>
        <v>3.9397159177029524</v>
      </c>
      <c r="D284" s="44">
        <f t="shared" si="18"/>
        <v>11.748668429265082</v>
      </c>
      <c r="E284" s="44"/>
      <c r="F284" s="44"/>
      <c r="G284" s="44"/>
      <c r="H284" s="44">
        <f t="shared" si="20"/>
        <v>101.76189674794533</v>
      </c>
      <c r="I284" s="44">
        <f t="shared" si="20"/>
        <v>111.16563188735252</v>
      </c>
      <c r="J284" s="44">
        <f t="shared" si="20"/>
        <v>93.212514871269974</v>
      </c>
      <c r="K284" s="44"/>
      <c r="L284" s="44"/>
      <c r="M284" s="44"/>
      <c r="N284" s="44"/>
    </row>
    <row r="285" spans="1:14" x14ac:dyDescent="0.2">
      <c r="A285" s="54">
        <v>49735</v>
      </c>
      <c r="B285" s="44">
        <f t="shared" si="16"/>
        <v>7.3496023638231813</v>
      </c>
      <c r="C285" s="44">
        <f t="shared" si="17"/>
        <v>0.87549242615620759</v>
      </c>
      <c r="D285" s="44">
        <f t="shared" si="18"/>
        <v>8.2250947899793889</v>
      </c>
      <c r="E285" s="44"/>
      <c r="F285" s="44"/>
      <c r="G285" s="44"/>
      <c r="H285" s="44">
        <f t="shared" si="20"/>
        <v>71.849840980815216</v>
      </c>
      <c r="I285" s="44">
        <f t="shared" si="20"/>
        <v>78.247850999200679</v>
      </c>
      <c r="J285" s="44">
        <f t="shared" si="20"/>
        <v>65.585463813116462</v>
      </c>
      <c r="K285" s="44"/>
      <c r="L285" s="44"/>
      <c r="M285" s="44"/>
      <c r="N285" s="44"/>
    </row>
    <row r="286" spans="1:14" x14ac:dyDescent="0.2">
      <c r="A286" s="54">
        <v>49766</v>
      </c>
      <c r="B286" s="44">
        <f t="shared" si="16"/>
        <v>6.890252216084229</v>
      </c>
      <c r="C286" s="44">
        <f t="shared" si="17"/>
        <v>0.30587856503905186</v>
      </c>
      <c r="D286" s="44">
        <f t="shared" si="18"/>
        <v>7.1961307811232809</v>
      </c>
      <c r="E286" s="44"/>
      <c r="F286" s="44"/>
      <c r="G286" s="44"/>
      <c r="H286" s="44">
        <f t="shared" si="20"/>
        <v>65.51225253394793</v>
      </c>
      <c r="I286" s="44">
        <f t="shared" si="20"/>
        <v>73.154376646886391</v>
      </c>
      <c r="J286" s="44">
        <f t="shared" si="20"/>
        <v>58.827860205869783</v>
      </c>
      <c r="K286" s="44"/>
      <c r="L286" s="44"/>
      <c r="M286" s="44"/>
      <c r="N286" s="44"/>
    </row>
    <row r="287" spans="1:14" x14ac:dyDescent="0.2">
      <c r="A287" s="54">
        <v>49796</v>
      </c>
      <c r="B287" s="44">
        <f t="shared" si="16"/>
        <v>7.3496023638231813</v>
      </c>
      <c r="C287" s="44">
        <f t="shared" si="17"/>
        <v>0.3194731679296714</v>
      </c>
      <c r="D287" s="44">
        <f t="shared" si="18"/>
        <v>7.6690755317528527</v>
      </c>
      <c r="E287" s="44"/>
      <c r="F287" s="44"/>
      <c r="G287" s="44"/>
      <c r="H287" s="44">
        <f t="shared" si="20"/>
        <v>71.228234535536288</v>
      </c>
      <c r="I287" s="44">
        <f t="shared" si="20"/>
        <v>82.668454517333501</v>
      </c>
      <c r="J287" s="44">
        <f t="shared" si="20"/>
        <v>60.958269505050886</v>
      </c>
      <c r="K287" s="44"/>
      <c r="L287" s="44"/>
      <c r="M287" s="44"/>
      <c r="N287" s="44"/>
    </row>
    <row r="288" spans="1:14" x14ac:dyDescent="0.2">
      <c r="A288" s="54">
        <v>49827</v>
      </c>
      <c r="B288" s="44">
        <f t="shared" si="16"/>
        <v>7.5333424229187562</v>
      </c>
      <c r="C288" s="44">
        <f t="shared" si="17"/>
        <v>0.32355154879686054</v>
      </c>
      <c r="D288" s="44">
        <f t="shared" si="18"/>
        <v>7.8568939717156168</v>
      </c>
      <c r="E288" s="44"/>
      <c r="F288" s="44"/>
      <c r="G288" s="44"/>
      <c r="H288" s="44">
        <f t="shared" ref="H288:J303" si="21">H276*(1+H$4)</f>
        <v>74.69912342177318</v>
      </c>
      <c r="I288" s="44">
        <f t="shared" si="21"/>
        <v>87.508168033414293</v>
      </c>
      <c r="J288" s="44">
        <f t="shared" si="21"/>
        <v>62.445729789960531</v>
      </c>
      <c r="K288" s="44"/>
      <c r="L288" s="44"/>
      <c r="M288" s="44"/>
      <c r="N288" s="44"/>
    </row>
    <row r="289" spans="1:14" x14ac:dyDescent="0.2">
      <c r="A289" s="54">
        <v>49857</v>
      </c>
      <c r="B289" s="44">
        <f t="shared" si="16"/>
        <v>7.8089525115621301</v>
      </c>
      <c r="C289" s="44">
        <f t="shared" si="17"/>
        <v>0.33170831053123262</v>
      </c>
      <c r="D289" s="44">
        <f t="shared" si="18"/>
        <v>8.1406608220933627</v>
      </c>
      <c r="E289" s="44"/>
      <c r="F289" s="44"/>
      <c r="G289" s="44"/>
      <c r="H289" s="44">
        <f t="shared" si="21"/>
        <v>84.312054002191402</v>
      </c>
      <c r="I289" s="44">
        <f t="shared" si="21"/>
        <v>106.85009318520733</v>
      </c>
      <c r="J289" s="44">
        <f t="shared" si="21"/>
        <v>65.750984507070129</v>
      </c>
      <c r="K289" s="44"/>
      <c r="L289" s="44"/>
      <c r="M289" s="44"/>
      <c r="N289" s="44"/>
    </row>
    <row r="290" spans="1:14" x14ac:dyDescent="0.2">
      <c r="A290" s="54">
        <v>49888</v>
      </c>
      <c r="B290" s="44">
        <f t="shared" si="16"/>
        <v>7.8089525115621301</v>
      </c>
      <c r="C290" s="44">
        <f t="shared" si="17"/>
        <v>0.33986507226560914</v>
      </c>
      <c r="D290" s="44">
        <f t="shared" si="18"/>
        <v>8.1488175838277392</v>
      </c>
      <c r="E290" s="44"/>
      <c r="F290" s="44"/>
      <c r="G290" s="44"/>
      <c r="H290" s="44">
        <f t="shared" si="21"/>
        <v>74.03740482209713</v>
      </c>
      <c r="I290" s="44">
        <f t="shared" si="21"/>
        <v>83.539282791900987</v>
      </c>
      <c r="J290" s="44">
        <f t="shared" si="21"/>
        <v>64.737066677521071</v>
      </c>
      <c r="K290" s="44"/>
      <c r="L290" s="44"/>
      <c r="M290" s="44"/>
      <c r="N290" s="44"/>
    </row>
    <row r="291" spans="1:14" x14ac:dyDescent="0.2">
      <c r="A291" s="54">
        <v>49919</v>
      </c>
      <c r="B291" s="44">
        <f t="shared" si="16"/>
        <v>7.3496023638231813</v>
      </c>
      <c r="C291" s="44">
        <f t="shared" si="17"/>
        <v>0.33442723110936079</v>
      </c>
      <c r="D291" s="44">
        <f t="shared" si="18"/>
        <v>7.6840295949325421</v>
      </c>
      <c r="E291" s="44"/>
      <c r="F291" s="44"/>
      <c r="G291" s="44"/>
      <c r="H291" s="44">
        <f t="shared" si="21"/>
        <v>65.883421909997523</v>
      </c>
      <c r="I291" s="44">
        <f t="shared" si="21"/>
        <v>70.287471247568959</v>
      </c>
      <c r="J291" s="44">
        <f t="shared" si="21"/>
        <v>61.552571976285748</v>
      </c>
      <c r="K291" s="44"/>
      <c r="L291" s="44"/>
      <c r="M291" s="44"/>
      <c r="N291" s="44"/>
    </row>
    <row r="292" spans="1:14" x14ac:dyDescent="0.2">
      <c r="A292" s="54">
        <v>49949</v>
      </c>
      <c r="B292" s="44">
        <f t="shared" si="16"/>
        <v>6.890252216084229</v>
      </c>
      <c r="C292" s="44">
        <f t="shared" si="17"/>
        <v>0.33442723110936257</v>
      </c>
      <c r="D292" s="44">
        <f t="shared" si="18"/>
        <v>7.2246794471935916</v>
      </c>
      <c r="E292" s="44"/>
      <c r="F292" s="44"/>
      <c r="G292" s="44"/>
      <c r="H292" s="44">
        <f t="shared" si="21"/>
        <v>62.882927202792544</v>
      </c>
      <c r="I292" s="44">
        <f t="shared" si="21"/>
        <v>67.240637765683985</v>
      </c>
      <c r="J292" s="44">
        <f t="shared" si="21"/>
        <v>58.829671850211454</v>
      </c>
      <c r="K292" s="44"/>
      <c r="L292" s="44"/>
      <c r="M292" s="44"/>
      <c r="N292" s="44"/>
    </row>
    <row r="293" spans="1:14" x14ac:dyDescent="0.2">
      <c r="A293" s="54">
        <v>49980</v>
      </c>
      <c r="B293" s="44">
        <f t="shared" si="16"/>
        <v>7.3496023638231813</v>
      </c>
      <c r="C293" s="44">
        <f t="shared" si="17"/>
        <v>0.50116503556286762</v>
      </c>
      <c r="D293" s="44">
        <f t="shared" si="18"/>
        <v>7.850767399386049</v>
      </c>
      <c r="E293" s="44"/>
      <c r="F293" s="44"/>
      <c r="G293" s="44"/>
      <c r="H293" s="44">
        <f t="shared" si="21"/>
        <v>70.921059879495232</v>
      </c>
      <c r="I293" s="44">
        <f t="shared" si="21"/>
        <v>77.256418407252966</v>
      </c>
      <c r="J293" s="44">
        <f t="shared" si="21"/>
        <v>64.807561149916452</v>
      </c>
      <c r="K293" s="44"/>
      <c r="L293" s="44"/>
      <c r="M293" s="44"/>
      <c r="N293" s="44"/>
    </row>
    <row r="294" spans="1:14" x14ac:dyDescent="0.2">
      <c r="A294" s="54">
        <v>50010</v>
      </c>
      <c r="B294" s="44">
        <f t="shared" si="16"/>
        <v>7.8089525115621301</v>
      </c>
      <c r="C294" s="44">
        <f t="shared" si="17"/>
        <v>2.5346593305453586</v>
      </c>
      <c r="D294" s="44">
        <f t="shared" si="18"/>
        <v>10.343611842107489</v>
      </c>
      <c r="E294" s="44"/>
      <c r="F294" s="44"/>
      <c r="G294" s="44"/>
      <c r="H294" s="44">
        <f t="shared" si="21"/>
        <v>97.253501710312108</v>
      </c>
      <c r="I294" s="44">
        <f t="shared" si="21"/>
        <v>111.5567187953305</v>
      </c>
      <c r="J294" s="44">
        <f t="shared" si="21"/>
        <v>84.409378755754929</v>
      </c>
      <c r="K294" s="44"/>
      <c r="L294" s="44"/>
      <c r="M294" s="44"/>
      <c r="N294" s="44"/>
    </row>
    <row r="295" spans="1:14" x14ac:dyDescent="0.2">
      <c r="A295" s="54">
        <v>50041</v>
      </c>
      <c r="B295" s="44">
        <f t="shared" si="16"/>
        <v>7.9651315617933731</v>
      </c>
      <c r="C295" s="44">
        <f t="shared" si="17"/>
        <v>4.8380200875096291</v>
      </c>
      <c r="D295" s="44">
        <f t="shared" si="18"/>
        <v>12.803151649303002</v>
      </c>
      <c r="E295" s="44"/>
      <c r="F295" s="44"/>
      <c r="G295" s="44"/>
      <c r="H295" s="44">
        <f t="shared" si="21"/>
        <v>128.51508341089755</v>
      </c>
      <c r="I295" s="44">
        <f t="shared" si="21"/>
        <v>156.3164380358848</v>
      </c>
      <c r="J295" s="44">
        <f t="shared" si="21"/>
        <v>105.62008508392913</v>
      </c>
      <c r="K295" s="44"/>
      <c r="L295" s="44"/>
      <c r="M295" s="44"/>
      <c r="N295" s="44"/>
    </row>
    <row r="296" spans="1:14" x14ac:dyDescent="0.2">
      <c r="A296" s="54">
        <v>50072</v>
      </c>
      <c r="B296" s="44">
        <f t="shared" si="16"/>
        <v>7.9651315617933731</v>
      </c>
      <c r="C296" s="44">
        <f t="shared" si="17"/>
        <v>4.0185102360570104</v>
      </c>
      <c r="D296" s="44">
        <f t="shared" si="18"/>
        <v>11.983641797850384</v>
      </c>
      <c r="E296" s="44"/>
      <c r="F296" s="44"/>
      <c r="G296" s="44"/>
      <c r="H296" s="44">
        <f t="shared" si="21"/>
        <v>103.79713468290424</v>
      </c>
      <c r="I296" s="44">
        <f t="shared" si="21"/>
        <v>113.38894452509957</v>
      </c>
      <c r="J296" s="44">
        <f t="shared" si="21"/>
        <v>95.076765168695374</v>
      </c>
      <c r="K296" s="44"/>
      <c r="L296" s="44"/>
      <c r="M296" s="44"/>
      <c r="N296" s="44"/>
    </row>
    <row r="297" spans="1:14" x14ac:dyDescent="0.2">
      <c r="A297" s="54">
        <v>50100</v>
      </c>
      <c r="B297" s="44">
        <f t="shared" si="16"/>
        <v>7.496594411099645</v>
      </c>
      <c r="C297" s="44">
        <f t="shared" si="17"/>
        <v>0.89300227467933269</v>
      </c>
      <c r="D297" s="44">
        <f t="shared" si="18"/>
        <v>8.3895966857789777</v>
      </c>
      <c r="E297" s="44"/>
      <c r="F297" s="44"/>
      <c r="G297" s="44"/>
      <c r="H297" s="44">
        <f t="shared" si="21"/>
        <v>73.286837800431528</v>
      </c>
      <c r="I297" s="44">
        <f t="shared" si="21"/>
        <v>79.8128080191847</v>
      </c>
      <c r="J297" s="44">
        <f t="shared" si="21"/>
        <v>66.897173089378796</v>
      </c>
      <c r="K297" s="44"/>
      <c r="L297" s="44"/>
      <c r="M297" s="44"/>
      <c r="N297" s="44"/>
    </row>
    <row r="298" spans="1:14" x14ac:dyDescent="0.2">
      <c r="A298" s="54">
        <v>50131</v>
      </c>
      <c r="B298" s="44">
        <f t="shared" si="16"/>
        <v>7.0280572604059133</v>
      </c>
      <c r="C298" s="44">
        <f t="shared" si="17"/>
        <v>0.31199613633983336</v>
      </c>
      <c r="D298" s="44">
        <f t="shared" si="18"/>
        <v>7.3400533967457466</v>
      </c>
      <c r="E298" s="44"/>
      <c r="F298" s="44"/>
      <c r="G298" s="44"/>
      <c r="H298" s="44">
        <f t="shared" si="21"/>
        <v>66.822497584626888</v>
      </c>
      <c r="I298" s="44">
        <f t="shared" si="21"/>
        <v>74.617464179824125</v>
      </c>
      <c r="J298" s="44">
        <f t="shared" si="21"/>
        <v>60.004417409987177</v>
      </c>
      <c r="K298" s="44"/>
      <c r="L298" s="44"/>
      <c r="M298" s="44"/>
      <c r="N298" s="44"/>
    </row>
    <row r="299" spans="1:14" x14ac:dyDescent="0.2">
      <c r="A299" s="54">
        <v>50161</v>
      </c>
      <c r="B299" s="44">
        <f t="shared" si="16"/>
        <v>7.496594411099645</v>
      </c>
      <c r="C299" s="44">
        <f t="shared" si="17"/>
        <v>0.32586263128826509</v>
      </c>
      <c r="D299" s="44">
        <f t="shared" si="18"/>
        <v>7.8224570423879101</v>
      </c>
      <c r="E299" s="44"/>
      <c r="F299" s="44"/>
      <c r="G299" s="44"/>
      <c r="H299" s="44">
        <f t="shared" si="21"/>
        <v>72.652799226247012</v>
      </c>
      <c r="I299" s="44">
        <f t="shared" si="21"/>
        <v>84.321823607680173</v>
      </c>
      <c r="J299" s="44">
        <f t="shared" si="21"/>
        <v>62.177434895151904</v>
      </c>
      <c r="K299" s="44"/>
      <c r="L299" s="44"/>
      <c r="M299" s="44"/>
      <c r="N299" s="44"/>
    </row>
    <row r="300" spans="1:14" x14ac:dyDescent="0.2">
      <c r="A300" s="54">
        <v>50192</v>
      </c>
      <c r="B300" s="44">
        <f t="shared" si="16"/>
        <v>7.6840092713771311</v>
      </c>
      <c r="C300" s="44">
        <f t="shared" si="17"/>
        <v>0.33002257977279736</v>
      </c>
      <c r="D300" s="44">
        <f t="shared" si="18"/>
        <v>8.0140318511499284</v>
      </c>
      <c r="E300" s="44"/>
      <c r="F300" s="44"/>
      <c r="G300" s="44"/>
      <c r="H300" s="44">
        <f t="shared" si="21"/>
        <v>76.193105890208642</v>
      </c>
      <c r="I300" s="44">
        <f t="shared" si="21"/>
        <v>89.258331394082575</v>
      </c>
      <c r="J300" s="44">
        <f t="shared" si="21"/>
        <v>63.694644385759744</v>
      </c>
      <c r="K300" s="44"/>
      <c r="L300" s="44"/>
      <c r="M300" s="44"/>
      <c r="N300" s="44"/>
    </row>
    <row r="301" spans="1:14" x14ac:dyDescent="0.2">
      <c r="A301" s="54">
        <v>50222</v>
      </c>
      <c r="B301" s="44">
        <f t="shared" si="16"/>
        <v>7.9651315617933731</v>
      </c>
      <c r="C301" s="44">
        <f t="shared" si="17"/>
        <v>0.33834247674185658</v>
      </c>
      <c r="D301" s="44">
        <f t="shared" si="18"/>
        <v>8.3034740385352297</v>
      </c>
      <c r="E301" s="44"/>
      <c r="F301" s="44"/>
      <c r="G301" s="44"/>
      <c r="H301" s="44">
        <f t="shared" si="21"/>
        <v>85.998295082235231</v>
      </c>
      <c r="I301" s="44">
        <f t="shared" si="21"/>
        <v>108.98709504891147</v>
      </c>
      <c r="J301" s="44">
        <f t="shared" si="21"/>
        <v>67.066004197211527</v>
      </c>
      <c r="K301" s="44"/>
      <c r="L301" s="44"/>
      <c r="M301" s="44"/>
      <c r="N301" s="44"/>
    </row>
    <row r="302" spans="1:14" x14ac:dyDescent="0.2">
      <c r="A302" s="54">
        <v>50253</v>
      </c>
      <c r="B302" s="44">
        <f t="shared" si="16"/>
        <v>7.9651315617933731</v>
      </c>
      <c r="C302" s="44">
        <f t="shared" si="17"/>
        <v>0.34666237371092112</v>
      </c>
      <c r="D302" s="44">
        <f t="shared" si="18"/>
        <v>8.3117939355042942</v>
      </c>
      <c r="E302" s="44"/>
      <c r="F302" s="44"/>
      <c r="G302" s="44"/>
      <c r="H302" s="44">
        <f t="shared" si="21"/>
        <v>75.518152918539073</v>
      </c>
      <c r="I302" s="44">
        <f t="shared" si="21"/>
        <v>85.210068447739005</v>
      </c>
      <c r="J302" s="44">
        <f t="shared" si="21"/>
        <v>66.03180801107149</v>
      </c>
      <c r="K302" s="44"/>
      <c r="L302" s="44"/>
      <c r="M302" s="44"/>
      <c r="N302" s="44"/>
    </row>
    <row r="303" spans="1:14" x14ac:dyDescent="0.2">
      <c r="A303" s="54">
        <v>50284</v>
      </c>
      <c r="B303" s="44">
        <f t="shared" si="16"/>
        <v>7.496594411099645</v>
      </c>
      <c r="C303" s="44">
        <f t="shared" si="17"/>
        <v>0.34111577573154772</v>
      </c>
      <c r="D303" s="44">
        <f t="shared" si="18"/>
        <v>7.8377101868311927</v>
      </c>
      <c r="E303" s="44"/>
      <c r="F303" s="44"/>
      <c r="G303" s="44"/>
      <c r="H303" s="44">
        <f t="shared" si="21"/>
        <v>67.201090348197468</v>
      </c>
      <c r="I303" s="44">
        <f t="shared" si="21"/>
        <v>71.69322067252034</v>
      </c>
      <c r="J303" s="44">
        <f t="shared" si="21"/>
        <v>62.783623415811462</v>
      </c>
      <c r="K303" s="44"/>
      <c r="L303" s="44"/>
      <c r="M303" s="44"/>
      <c r="N303" s="44"/>
    </row>
    <row r="304" spans="1:14" x14ac:dyDescent="0.2">
      <c r="A304" s="54">
        <v>50314</v>
      </c>
      <c r="B304" s="44">
        <f t="shared" si="16"/>
        <v>7.0280572604059133</v>
      </c>
      <c r="C304" s="44">
        <f t="shared" si="17"/>
        <v>0.34111577573155039</v>
      </c>
      <c r="D304" s="44">
        <f t="shared" si="18"/>
        <v>7.3691730361374637</v>
      </c>
      <c r="E304" s="44"/>
      <c r="F304" s="44"/>
      <c r="G304" s="44"/>
      <c r="H304" s="44">
        <f t="shared" ref="H304:J319" si="22">H292*(1+H$4)</f>
        <v>64.140585746848402</v>
      </c>
      <c r="I304" s="44">
        <f t="shared" si="22"/>
        <v>68.585450520997668</v>
      </c>
      <c r="J304" s="44">
        <f t="shared" si="22"/>
        <v>60.006265287215683</v>
      </c>
      <c r="K304" s="44"/>
      <c r="L304" s="44"/>
      <c r="M304" s="44"/>
      <c r="N304" s="44"/>
    </row>
    <row r="305" spans="1:14" x14ac:dyDescent="0.2">
      <c r="A305" s="54">
        <v>50345</v>
      </c>
      <c r="B305" s="44">
        <f t="shared" si="16"/>
        <v>7.496594411099645</v>
      </c>
      <c r="C305" s="44">
        <f t="shared" si="17"/>
        <v>0.51118833627412563</v>
      </c>
      <c r="D305" s="44">
        <f t="shared" si="18"/>
        <v>8.0077827473737706</v>
      </c>
      <c r="E305" s="44"/>
      <c r="F305" s="44"/>
      <c r="G305" s="44"/>
      <c r="H305" s="44">
        <f t="shared" si="22"/>
        <v>72.339481077085139</v>
      </c>
      <c r="I305" s="44">
        <f t="shared" si="22"/>
        <v>78.801546775398023</v>
      </c>
      <c r="J305" s="44">
        <f t="shared" si="22"/>
        <v>66.103712372914785</v>
      </c>
      <c r="K305" s="44"/>
      <c r="L305" s="44"/>
      <c r="M305" s="44"/>
      <c r="N305" s="44"/>
    </row>
    <row r="306" spans="1:14" x14ac:dyDescent="0.2">
      <c r="A306" s="54">
        <v>50375</v>
      </c>
      <c r="B306" s="44">
        <f t="shared" si="16"/>
        <v>7.9651315617933731</v>
      </c>
      <c r="C306" s="44">
        <f t="shared" si="17"/>
        <v>2.5853525171562657</v>
      </c>
      <c r="D306" s="44">
        <f t="shared" si="18"/>
        <v>10.550484078949639</v>
      </c>
      <c r="E306" s="44"/>
      <c r="F306" s="44"/>
      <c r="G306" s="44"/>
      <c r="H306" s="44">
        <f t="shared" si="22"/>
        <v>99.198571744518347</v>
      </c>
      <c r="I306" s="44">
        <f t="shared" si="22"/>
        <v>113.7878531712371</v>
      </c>
      <c r="J306" s="44">
        <f t="shared" si="22"/>
        <v>86.097566330870023</v>
      </c>
      <c r="K306" s="44"/>
      <c r="L306" s="44"/>
      <c r="M306" s="44"/>
      <c r="N306" s="44"/>
    </row>
    <row r="307" spans="1:14" x14ac:dyDescent="0.2">
      <c r="A307" s="54">
        <v>50406</v>
      </c>
      <c r="B307" s="44">
        <f t="shared" si="16"/>
        <v>8.1244341930292414</v>
      </c>
      <c r="C307" s="44">
        <f t="shared" si="17"/>
        <v>4.9347804892598219</v>
      </c>
      <c r="D307" s="44">
        <f t="shared" si="18"/>
        <v>13.059214682289063</v>
      </c>
      <c r="E307" s="44"/>
      <c r="F307" s="44"/>
      <c r="G307" s="44"/>
      <c r="H307" s="44">
        <f t="shared" si="22"/>
        <v>131.0853850791155</v>
      </c>
      <c r="I307" s="44">
        <f t="shared" si="22"/>
        <v>159.44276679660251</v>
      </c>
      <c r="J307" s="44">
        <f t="shared" si="22"/>
        <v>107.7324867856077</v>
      </c>
      <c r="K307" s="44"/>
      <c r="L307" s="44"/>
      <c r="M307" s="44"/>
      <c r="N307" s="44"/>
    </row>
    <row r="308" spans="1:14" x14ac:dyDescent="0.2">
      <c r="A308" s="54">
        <v>50437</v>
      </c>
      <c r="B308" s="44">
        <f t="shared" si="16"/>
        <v>8.1244341930292414</v>
      </c>
      <c r="C308" s="44">
        <f t="shared" si="17"/>
        <v>4.0988804407781494</v>
      </c>
      <c r="D308" s="44">
        <f t="shared" si="18"/>
        <v>12.223314633807391</v>
      </c>
      <c r="E308" s="44"/>
      <c r="F308" s="44"/>
      <c r="G308" s="44"/>
      <c r="H308" s="44">
        <f t="shared" si="22"/>
        <v>105.87307737656234</v>
      </c>
      <c r="I308" s="44">
        <f t="shared" si="22"/>
        <v>115.65672341560156</v>
      </c>
      <c r="J308" s="44">
        <f t="shared" si="22"/>
        <v>96.978300472069279</v>
      </c>
      <c r="K308" s="44"/>
      <c r="L308" s="44"/>
      <c r="M308" s="44"/>
      <c r="N308" s="44"/>
    </row>
    <row r="309" spans="1:14" x14ac:dyDescent="0.2">
      <c r="A309" s="54">
        <v>50465</v>
      </c>
      <c r="B309" s="44">
        <f t="shared" si="16"/>
        <v>7.6465262993216383</v>
      </c>
      <c r="C309" s="44">
        <f t="shared" si="17"/>
        <v>0.91086232017291824</v>
      </c>
      <c r="D309" s="44">
        <f t="shared" si="18"/>
        <v>8.5573886194945565</v>
      </c>
      <c r="E309" s="44"/>
      <c r="F309" s="44"/>
      <c r="G309" s="44"/>
      <c r="H309" s="44">
        <f t="shared" si="22"/>
        <v>74.752574556440166</v>
      </c>
      <c r="I309" s="44">
        <f t="shared" si="22"/>
        <v>81.409064179568389</v>
      </c>
      <c r="J309" s="44">
        <f t="shared" si="22"/>
        <v>68.235116551166371</v>
      </c>
      <c r="K309" s="44"/>
      <c r="L309" s="44"/>
      <c r="M309" s="44"/>
      <c r="N309" s="44"/>
    </row>
    <row r="310" spans="1:14" x14ac:dyDescent="0.2">
      <c r="A310" s="54">
        <v>50496</v>
      </c>
      <c r="B310" s="44">
        <f t="shared" si="16"/>
        <v>7.1686184056140316</v>
      </c>
      <c r="C310" s="44">
        <f t="shared" si="17"/>
        <v>0.31823605906663044</v>
      </c>
      <c r="D310" s="44">
        <f t="shared" si="18"/>
        <v>7.4868544646806621</v>
      </c>
      <c r="E310" s="44"/>
      <c r="F310" s="44"/>
      <c r="G310" s="44"/>
      <c r="H310" s="44">
        <f t="shared" si="22"/>
        <v>68.158947536319431</v>
      </c>
      <c r="I310" s="44">
        <f t="shared" si="22"/>
        <v>76.109813463420608</v>
      </c>
      <c r="J310" s="44">
        <f t="shared" si="22"/>
        <v>61.204505758186919</v>
      </c>
      <c r="K310" s="44"/>
      <c r="L310" s="44"/>
      <c r="M310" s="44"/>
      <c r="N310" s="44"/>
    </row>
    <row r="311" spans="1:14" x14ac:dyDescent="0.2">
      <c r="A311" s="54">
        <v>50526</v>
      </c>
      <c r="B311" s="44">
        <f t="shared" si="16"/>
        <v>7.6465262993216383</v>
      </c>
      <c r="C311" s="44">
        <f t="shared" si="17"/>
        <v>0.33237988391403039</v>
      </c>
      <c r="D311" s="44">
        <f t="shared" si="18"/>
        <v>7.9789061832356687</v>
      </c>
      <c r="E311" s="44"/>
      <c r="F311" s="44"/>
      <c r="G311" s="44"/>
      <c r="H311" s="44">
        <f t="shared" si="22"/>
        <v>74.105855210771949</v>
      </c>
      <c r="I311" s="44">
        <f t="shared" si="22"/>
        <v>86.008260079833775</v>
      </c>
      <c r="J311" s="44">
        <f t="shared" si="22"/>
        <v>63.420983593054942</v>
      </c>
      <c r="K311" s="44"/>
      <c r="L311" s="44"/>
      <c r="M311" s="44"/>
      <c r="N311" s="44"/>
    </row>
    <row r="312" spans="1:14" x14ac:dyDescent="0.2">
      <c r="A312" s="54">
        <v>50557</v>
      </c>
      <c r="B312" s="44">
        <f t="shared" si="16"/>
        <v>7.8376894568046742</v>
      </c>
      <c r="C312" s="44">
        <f t="shared" si="17"/>
        <v>0.33662303136825233</v>
      </c>
      <c r="D312" s="44">
        <f t="shared" si="18"/>
        <v>8.1743124881729265</v>
      </c>
      <c r="E312" s="44"/>
      <c r="F312" s="44"/>
      <c r="G312" s="44"/>
      <c r="H312" s="44">
        <f t="shared" si="22"/>
        <v>77.716968008012813</v>
      </c>
      <c r="I312" s="44">
        <f t="shared" si="22"/>
        <v>91.043498021964226</v>
      </c>
      <c r="J312" s="44">
        <f t="shared" si="22"/>
        <v>64.968537273474936</v>
      </c>
      <c r="K312" s="44"/>
      <c r="L312" s="44"/>
      <c r="M312" s="44"/>
      <c r="N312" s="44"/>
    </row>
    <row r="313" spans="1:14" x14ac:dyDescent="0.2">
      <c r="A313" s="54">
        <v>50587</v>
      </c>
      <c r="B313" s="44">
        <f t="shared" si="16"/>
        <v>8.1244341930292414</v>
      </c>
      <c r="C313" s="44">
        <f t="shared" si="17"/>
        <v>0.34510932627669355</v>
      </c>
      <c r="D313" s="44">
        <f t="shared" si="18"/>
        <v>8.469543519305935</v>
      </c>
      <c r="E313" s="44"/>
      <c r="F313" s="44"/>
      <c r="G313" s="44"/>
      <c r="H313" s="44">
        <f t="shared" si="22"/>
        <v>87.718260983879944</v>
      </c>
      <c r="I313" s="44">
        <f t="shared" si="22"/>
        <v>111.1668369498897</v>
      </c>
      <c r="J313" s="44">
        <f t="shared" si="22"/>
        <v>68.407324281155752</v>
      </c>
      <c r="K313" s="44"/>
      <c r="L313" s="44"/>
      <c r="M313" s="44"/>
      <c r="N313" s="44"/>
    </row>
    <row r="314" spans="1:14" x14ac:dyDescent="0.2">
      <c r="A314" s="54">
        <v>50618</v>
      </c>
      <c r="B314" s="44">
        <f t="shared" si="16"/>
        <v>8.1244341930292414</v>
      </c>
      <c r="C314" s="44">
        <f t="shared" si="17"/>
        <v>0.35359562118513921</v>
      </c>
      <c r="D314" s="44">
        <f t="shared" si="18"/>
        <v>8.4780298142143806</v>
      </c>
      <c r="E314" s="44"/>
      <c r="F314" s="44"/>
      <c r="G314" s="44"/>
      <c r="H314" s="44">
        <f t="shared" si="22"/>
        <v>77.028515976909858</v>
      </c>
      <c r="I314" s="44">
        <f t="shared" si="22"/>
        <v>86.914269816693789</v>
      </c>
      <c r="J314" s="44">
        <f t="shared" si="22"/>
        <v>67.352444171292916</v>
      </c>
      <c r="K314" s="44"/>
      <c r="L314" s="44"/>
      <c r="M314" s="44"/>
      <c r="N314" s="44"/>
    </row>
    <row r="315" spans="1:14" x14ac:dyDescent="0.2">
      <c r="A315" s="54">
        <v>50649</v>
      </c>
      <c r="B315" s="44">
        <f t="shared" si="16"/>
        <v>7.6465262993216383</v>
      </c>
      <c r="C315" s="44">
        <f t="shared" si="17"/>
        <v>0.34793809124617869</v>
      </c>
      <c r="D315" s="44">
        <f t="shared" si="18"/>
        <v>7.994464390567817</v>
      </c>
      <c r="E315" s="44"/>
      <c r="F315" s="44"/>
      <c r="G315" s="44"/>
      <c r="H315" s="44">
        <f t="shared" si="22"/>
        <v>68.545112155161419</v>
      </c>
      <c r="I315" s="44">
        <f t="shared" si="22"/>
        <v>73.127085085970748</v>
      </c>
      <c r="J315" s="44">
        <f t="shared" si="22"/>
        <v>64.039295884127696</v>
      </c>
      <c r="K315" s="44"/>
      <c r="L315" s="44"/>
      <c r="M315" s="44"/>
      <c r="N315" s="44"/>
    </row>
    <row r="316" spans="1:14" x14ac:dyDescent="0.2">
      <c r="A316" s="54">
        <v>50679</v>
      </c>
      <c r="B316" s="44">
        <f t="shared" si="16"/>
        <v>7.1686184056140316</v>
      </c>
      <c r="C316" s="44">
        <f t="shared" si="17"/>
        <v>0.34793809124618136</v>
      </c>
      <c r="D316" s="44">
        <f t="shared" si="18"/>
        <v>7.516556496860213</v>
      </c>
      <c r="E316" s="44"/>
      <c r="F316" s="44"/>
      <c r="G316" s="44"/>
      <c r="H316" s="44">
        <f t="shared" si="22"/>
        <v>65.42339746178537</v>
      </c>
      <c r="I316" s="44">
        <f t="shared" si="22"/>
        <v>69.957159531417616</v>
      </c>
      <c r="J316" s="44">
        <f t="shared" si="22"/>
        <v>61.206390592959998</v>
      </c>
      <c r="K316" s="44"/>
      <c r="L316" s="44"/>
      <c r="M316" s="44"/>
      <c r="N316" s="44"/>
    </row>
    <row r="317" spans="1:14" x14ac:dyDescent="0.2">
      <c r="A317" s="54">
        <v>50710</v>
      </c>
      <c r="B317" s="44">
        <f t="shared" si="16"/>
        <v>7.6465262993216383</v>
      </c>
      <c r="C317" s="44">
        <f t="shared" si="17"/>
        <v>0.52141210299960772</v>
      </c>
      <c r="D317" s="44">
        <f t="shared" si="18"/>
        <v>8.167938402321246</v>
      </c>
      <c r="E317" s="44"/>
      <c r="F317" s="44"/>
      <c r="G317" s="44"/>
      <c r="H317" s="44">
        <f t="shared" si="22"/>
        <v>73.786270698626836</v>
      </c>
      <c r="I317" s="44">
        <f t="shared" si="22"/>
        <v>80.377577710905982</v>
      </c>
      <c r="J317" s="44">
        <f t="shared" si="22"/>
        <v>67.425786620373088</v>
      </c>
      <c r="K317" s="44"/>
      <c r="L317" s="44"/>
      <c r="M317" s="44"/>
      <c r="N317" s="44"/>
    </row>
    <row r="318" spans="1:14" x14ac:dyDescent="0.2">
      <c r="A318" s="54">
        <v>50740</v>
      </c>
      <c r="B318" s="44">
        <f t="shared" si="16"/>
        <v>8.1244341930292414</v>
      </c>
      <c r="C318" s="44">
        <f t="shared" si="17"/>
        <v>2.6370595674993904</v>
      </c>
      <c r="D318" s="44">
        <f t="shared" si="18"/>
        <v>10.761493760528632</v>
      </c>
      <c r="E318" s="44"/>
      <c r="F318" s="44"/>
      <c r="G318" s="44"/>
      <c r="H318" s="44">
        <f t="shared" si="22"/>
        <v>101.18254317940871</v>
      </c>
      <c r="I318" s="44">
        <f t="shared" si="22"/>
        <v>116.06361023466185</v>
      </c>
      <c r="J318" s="44">
        <f t="shared" si="22"/>
        <v>87.819517657487424</v>
      </c>
      <c r="K318" s="44"/>
      <c r="L318" s="44"/>
      <c r="M318" s="44"/>
      <c r="N318" s="44"/>
    </row>
    <row r="319" spans="1:14" x14ac:dyDescent="0.2">
      <c r="A319" s="54">
        <v>50771</v>
      </c>
      <c r="B319" s="44">
        <f t="shared" si="16"/>
        <v>8.2869228768898271</v>
      </c>
      <c r="C319" s="44">
        <f t="shared" si="17"/>
        <v>5.0334760990450178</v>
      </c>
      <c r="D319" s="44">
        <f t="shared" si="18"/>
        <v>13.320398975934845</v>
      </c>
      <c r="E319" s="44"/>
      <c r="F319" s="44"/>
      <c r="G319" s="44"/>
      <c r="H319" s="44">
        <f t="shared" si="22"/>
        <v>133.70709278069782</v>
      </c>
      <c r="I319" s="44">
        <f t="shared" si="22"/>
        <v>162.63162213253457</v>
      </c>
      <c r="J319" s="44">
        <f t="shared" si="22"/>
        <v>109.88713652131986</v>
      </c>
      <c r="K319" s="44"/>
      <c r="L319" s="44"/>
      <c r="M319" s="44"/>
      <c r="N319" s="44"/>
    </row>
    <row r="320" spans="1:14" x14ac:dyDescent="0.2">
      <c r="A320" s="54">
        <v>50802</v>
      </c>
      <c r="B320" s="44">
        <f t="shared" ref="B320:B342" si="23">B308*(1+B$4)</f>
        <v>8.2869228768898271</v>
      </c>
      <c r="C320" s="44">
        <f t="shared" ref="C320:C342" si="24">D320-B320</f>
        <v>4.1808580495937111</v>
      </c>
      <c r="D320" s="44">
        <f t="shared" ref="D320:D342" si="25">D308*(1+D$4)</f>
        <v>12.467780926483538</v>
      </c>
      <c r="E320" s="44"/>
      <c r="F320" s="44"/>
      <c r="G320" s="44"/>
      <c r="H320" s="44">
        <f t="shared" ref="H320:J335" si="26">H308*(1+H$4)</f>
        <v>107.99053892409358</v>
      </c>
      <c r="I320" s="44">
        <f t="shared" si="26"/>
        <v>117.96985788391359</v>
      </c>
      <c r="J320" s="44">
        <f t="shared" si="26"/>
        <v>98.917866481510671</v>
      </c>
      <c r="K320" s="44"/>
      <c r="L320" s="44"/>
      <c r="M320" s="44"/>
      <c r="N320" s="44"/>
    </row>
    <row r="321" spans="1:14" x14ac:dyDescent="0.2">
      <c r="A321" s="54">
        <v>50830</v>
      </c>
      <c r="B321" s="44">
        <f t="shared" si="23"/>
        <v>7.7994568253080709</v>
      </c>
      <c r="C321" s="44">
        <f t="shared" si="24"/>
        <v>0.92907956657637758</v>
      </c>
      <c r="D321" s="44">
        <f t="shared" si="25"/>
        <v>8.7285363918844485</v>
      </c>
      <c r="E321" s="44"/>
      <c r="F321" s="44"/>
      <c r="G321" s="44"/>
      <c r="H321" s="44">
        <f t="shared" si="26"/>
        <v>76.247626047568971</v>
      </c>
      <c r="I321" s="44">
        <f t="shared" si="26"/>
        <v>83.037245463159763</v>
      </c>
      <c r="J321" s="44">
        <f t="shared" si="26"/>
        <v>69.599818882189695</v>
      </c>
      <c r="K321" s="44"/>
      <c r="L321" s="44"/>
      <c r="M321" s="44"/>
      <c r="N321" s="44"/>
    </row>
    <row r="322" spans="1:14" x14ac:dyDescent="0.2">
      <c r="A322" s="54">
        <v>50861</v>
      </c>
      <c r="B322" s="44">
        <f t="shared" si="23"/>
        <v>7.3119907737263121</v>
      </c>
      <c r="C322" s="44">
        <f t="shared" si="24"/>
        <v>0.32460078024796335</v>
      </c>
      <c r="D322" s="44">
        <f t="shared" si="25"/>
        <v>7.6365915539742755</v>
      </c>
      <c r="E322" s="44"/>
      <c r="F322" s="44"/>
      <c r="G322" s="44"/>
      <c r="H322" s="44">
        <f t="shared" si="26"/>
        <v>69.522126487045824</v>
      </c>
      <c r="I322" s="44">
        <f t="shared" si="26"/>
        <v>77.632009732689028</v>
      </c>
      <c r="J322" s="44">
        <f t="shared" si="26"/>
        <v>62.428595873350659</v>
      </c>
      <c r="K322" s="44"/>
      <c r="L322" s="44"/>
      <c r="M322" s="44"/>
      <c r="N322" s="44"/>
    </row>
    <row r="323" spans="1:14" x14ac:dyDescent="0.2">
      <c r="A323" s="54">
        <v>50891</v>
      </c>
      <c r="B323" s="44">
        <f t="shared" si="23"/>
        <v>7.7994568253080709</v>
      </c>
      <c r="C323" s="44">
        <f t="shared" si="24"/>
        <v>0.33902748159231155</v>
      </c>
      <c r="D323" s="44">
        <f t="shared" si="25"/>
        <v>8.1384843069003825</v>
      </c>
      <c r="E323" s="44"/>
      <c r="F323" s="44"/>
      <c r="G323" s="44"/>
      <c r="H323" s="44">
        <f t="shared" si="26"/>
        <v>75.587972314987383</v>
      </c>
      <c r="I323" s="44">
        <f t="shared" si="26"/>
        <v>87.728425281430447</v>
      </c>
      <c r="J323" s="44">
        <f t="shared" si="26"/>
        <v>64.689403264916038</v>
      </c>
      <c r="K323" s="44"/>
      <c r="L323" s="44"/>
      <c r="M323" s="44"/>
      <c r="N323" s="44"/>
    </row>
    <row r="324" spans="1:14" x14ac:dyDescent="0.2">
      <c r="A324" s="54">
        <v>50922</v>
      </c>
      <c r="B324" s="44">
        <f t="shared" si="23"/>
        <v>7.9944432459407677</v>
      </c>
      <c r="C324" s="44">
        <f t="shared" si="24"/>
        <v>0.34335549199561743</v>
      </c>
      <c r="D324" s="44">
        <f t="shared" si="25"/>
        <v>8.3377987379363852</v>
      </c>
      <c r="E324" s="44"/>
      <c r="F324" s="44"/>
      <c r="G324" s="44"/>
      <c r="H324" s="44">
        <f t="shared" si="26"/>
        <v>79.271307368173069</v>
      </c>
      <c r="I324" s="44">
        <f t="shared" si="26"/>
        <v>92.864367982403508</v>
      </c>
      <c r="J324" s="44">
        <f t="shared" si="26"/>
        <v>66.267908018944439</v>
      </c>
      <c r="K324" s="44"/>
      <c r="L324" s="44"/>
      <c r="M324" s="44"/>
      <c r="N324" s="44"/>
    </row>
    <row r="325" spans="1:14" x14ac:dyDescent="0.2">
      <c r="A325" s="54">
        <v>50952</v>
      </c>
      <c r="B325" s="44">
        <f t="shared" si="23"/>
        <v>8.2869228768898271</v>
      </c>
      <c r="C325" s="44">
        <f t="shared" si="24"/>
        <v>0.35201151280222653</v>
      </c>
      <c r="D325" s="44">
        <f t="shared" si="25"/>
        <v>8.6389343896920536</v>
      </c>
      <c r="E325" s="44"/>
      <c r="F325" s="44"/>
      <c r="G325" s="44"/>
      <c r="H325" s="44">
        <f t="shared" si="26"/>
        <v>89.472626203557539</v>
      </c>
      <c r="I325" s="44">
        <f t="shared" si="26"/>
        <v>113.3901736888875</v>
      </c>
      <c r="J325" s="44">
        <f t="shared" si="26"/>
        <v>69.775470766778867</v>
      </c>
      <c r="K325" s="44"/>
      <c r="L325" s="44"/>
      <c r="M325" s="44"/>
      <c r="N325" s="44"/>
    </row>
    <row r="326" spans="1:14" x14ac:dyDescent="0.2">
      <c r="A326" s="54">
        <v>50983</v>
      </c>
      <c r="B326" s="44">
        <f t="shared" si="23"/>
        <v>8.2869228768898271</v>
      </c>
      <c r="C326" s="44">
        <f t="shared" si="24"/>
        <v>0.36066753360884185</v>
      </c>
      <c r="D326" s="44">
        <f t="shared" si="25"/>
        <v>8.6475904104986689</v>
      </c>
      <c r="E326" s="44"/>
      <c r="F326" s="44"/>
      <c r="G326" s="44"/>
      <c r="H326" s="44">
        <f t="shared" si="26"/>
        <v>78.569086296448063</v>
      </c>
      <c r="I326" s="44">
        <f t="shared" si="26"/>
        <v>88.652555213027668</v>
      </c>
      <c r="J326" s="44">
        <f t="shared" si="26"/>
        <v>68.699493054718772</v>
      </c>
      <c r="K326" s="44"/>
      <c r="L326" s="44"/>
      <c r="M326" s="44"/>
      <c r="N326" s="44"/>
    </row>
    <row r="327" spans="1:14" x14ac:dyDescent="0.2">
      <c r="A327" s="54">
        <v>51014</v>
      </c>
      <c r="B327" s="44">
        <f t="shared" si="23"/>
        <v>7.7994568253080709</v>
      </c>
      <c r="C327" s="44">
        <f t="shared" si="24"/>
        <v>0.35489685307110275</v>
      </c>
      <c r="D327" s="44">
        <f t="shared" si="25"/>
        <v>8.1543536783791737</v>
      </c>
      <c r="E327" s="44"/>
      <c r="F327" s="44"/>
      <c r="G327" s="44"/>
      <c r="H327" s="44">
        <f t="shared" si="26"/>
        <v>69.91601439826465</v>
      </c>
      <c r="I327" s="44">
        <f t="shared" si="26"/>
        <v>74.589626787690165</v>
      </c>
      <c r="J327" s="44">
        <f t="shared" si="26"/>
        <v>65.320081801810247</v>
      </c>
      <c r="K327" s="44"/>
      <c r="L327" s="44"/>
      <c r="M327" s="44"/>
      <c r="N327" s="44"/>
    </row>
    <row r="328" spans="1:14" x14ac:dyDescent="0.2">
      <c r="A328" s="54">
        <v>51044</v>
      </c>
      <c r="B328" s="44">
        <f t="shared" si="23"/>
        <v>7.3119907737263121</v>
      </c>
      <c r="C328" s="44">
        <f t="shared" si="24"/>
        <v>0.35489685307110541</v>
      </c>
      <c r="D328" s="44">
        <f t="shared" si="25"/>
        <v>7.6668876267974175</v>
      </c>
      <c r="E328" s="44"/>
      <c r="F328" s="44"/>
      <c r="G328" s="44"/>
      <c r="H328" s="44">
        <f t="shared" si="26"/>
        <v>66.731865411021076</v>
      </c>
      <c r="I328" s="44">
        <f t="shared" si="26"/>
        <v>71.356302722045967</v>
      </c>
      <c r="J328" s="44">
        <f t="shared" si="26"/>
        <v>62.430518404819196</v>
      </c>
      <c r="K328" s="44"/>
      <c r="L328" s="44"/>
      <c r="M328" s="44"/>
      <c r="N328" s="44"/>
    </row>
    <row r="329" spans="1:14" x14ac:dyDescent="0.2">
      <c r="A329" s="54">
        <v>51075</v>
      </c>
      <c r="B329" s="44">
        <f t="shared" si="23"/>
        <v>7.7994568253080709</v>
      </c>
      <c r="C329" s="44">
        <f t="shared" si="24"/>
        <v>0.53184034505960032</v>
      </c>
      <c r="D329" s="44">
        <f t="shared" si="25"/>
        <v>8.3312971703676713</v>
      </c>
      <c r="E329" s="44"/>
      <c r="F329" s="44"/>
      <c r="G329" s="44"/>
      <c r="H329" s="44">
        <f t="shared" si="26"/>
        <v>75.261996112599377</v>
      </c>
      <c r="I329" s="44">
        <f t="shared" si="26"/>
        <v>81.985129265124101</v>
      </c>
      <c r="J329" s="44">
        <f t="shared" si="26"/>
        <v>68.774302352780552</v>
      </c>
      <c r="K329" s="44"/>
      <c r="L329" s="44"/>
      <c r="M329" s="44"/>
      <c r="N329" s="44"/>
    </row>
    <row r="330" spans="1:14" x14ac:dyDescent="0.2">
      <c r="A330" s="54">
        <v>51105</v>
      </c>
      <c r="B330" s="44">
        <f t="shared" si="23"/>
        <v>8.2869228768898271</v>
      </c>
      <c r="C330" s="44">
        <f t="shared" si="24"/>
        <v>2.689800758849378</v>
      </c>
      <c r="D330" s="44">
        <f t="shared" si="25"/>
        <v>10.976723635739205</v>
      </c>
      <c r="E330" s="44"/>
      <c r="F330" s="44"/>
      <c r="G330" s="44"/>
      <c r="H330" s="44">
        <f t="shared" si="26"/>
        <v>103.20619404299688</v>
      </c>
      <c r="I330" s="44">
        <f t="shared" si="26"/>
        <v>118.3848824393551</v>
      </c>
      <c r="J330" s="44">
        <f t="shared" si="26"/>
        <v>89.575908010637178</v>
      </c>
      <c r="K330" s="44"/>
      <c r="L330" s="44"/>
      <c r="M330" s="44"/>
      <c r="N330" s="44"/>
    </row>
    <row r="331" spans="1:14" x14ac:dyDescent="0.2">
      <c r="A331" s="54">
        <v>51136</v>
      </c>
      <c r="B331" s="44">
        <f t="shared" si="23"/>
        <v>8.4526613344276242</v>
      </c>
      <c r="C331" s="44">
        <f t="shared" si="24"/>
        <v>5.1341456210259171</v>
      </c>
      <c r="D331" s="44">
        <f t="shared" si="25"/>
        <v>13.586806955453541</v>
      </c>
      <c r="E331" s="44"/>
      <c r="F331" s="44"/>
      <c r="G331" s="44"/>
      <c r="H331" s="44">
        <f t="shared" si="26"/>
        <v>136.38123463631177</v>
      </c>
      <c r="I331" s="44">
        <f t="shared" si="26"/>
        <v>165.88425457518528</v>
      </c>
      <c r="J331" s="44">
        <f t="shared" si="26"/>
        <v>112.08487925174626</v>
      </c>
      <c r="K331" s="44"/>
      <c r="L331" s="44"/>
      <c r="M331" s="44"/>
      <c r="N331" s="44"/>
    </row>
    <row r="332" spans="1:14" x14ac:dyDescent="0.2">
      <c r="A332" s="54">
        <v>51167</v>
      </c>
      <c r="B332" s="44">
        <f t="shared" si="23"/>
        <v>8.4526613344276242</v>
      </c>
      <c r="C332" s="44">
        <f t="shared" si="24"/>
        <v>4.2644752105855854</v>
      </c>
      <c r="D332" s="44">
        <f t="shared" si="25"/>
        <v>12.71713654501321</v>
      </c>
      <c r="E332" s="44"/>
      <c r="F332" s="44"/>
      <c r="G332" s="44"/>
      <c r="H332" s="44">
        <f t="shared" si="26"/>
        <v>110.15034970257545</v>
      </c>
      <c r="I332" s="44">
        <f t="shared" si="26"/>
        <v>120.32925504159186</v>
      </c>
      <c r="J332" s="44">
        <f t="shared" si="26"/>
        <v>100.89622381114089</v>
      </c>
      <c r="K332" s="44"/>
      <c r="L332" s="44"/>
      <c r="M332" s="44"/>
      <c r="N332" s="44"/>
    </row>
    <row r="333" spans="1:14" x14ac:dyDescent="0.2">
      <c r="A333" s="54">
        <v>51196</v>
      </c>
      <c r="B333" s="44">
        <f t="shared" si="23"/>
        <v>7.9554459618142328</v>
      </c>
      <c r="C333" s="44">
        <f t="shared" si="24"/>
        <v>0.9476611579079055</v>
      </c>
      <c r="D333" s="44">
        <f t="shared" si="25"/>
        <v>8.9031071197221383</v>
      </c>
      <c r="E333" s="44"/>
      <c r="F333" s="44"/>
      <c r="G333" s="44"/>
      <c r="H333" s="44">
        <f t="shared" si="26"/>
        <v>77.772578568520359</v>
      </c>
      <c r="I333" s="44">
        <f t="shared" si="26"/>
        <v>84.697990372422964</v>
      </c>
      <c r="J333" s="44">
        <f t="shared" si="26"/>
        <v>70.991815259833487</v>
      </c>
      <c r="K333" s="44"/>
      <c r="L333" s="44"/>
      <c r="M333" s="44"/>
      <c r="N333" s="44"/>
    </row>
    <row r="334" spans="1:14" x14ac:dyDescent="0.2">
      <c r="A334" s="54">
        <v>51227</v>
      </c>
      <c r="B334" s="44">
        <f t="shared" si="23"/>
        <v>7.4582305892008387</v>
      </c>
      <c r="C334" s="44">
        <f t="shared" si="24"/>
        <v>0.33109279585292217</v>
      </c>
      <c r="D334" s="44">
        <f t="shared" si="25"/>
        <v>7.7893233850537609</v>
      </c>
      <c r="E334" s="44"/>
      <c r="F334" s="44"/>
      <c r="G334" s="44"/>
      <c r="H334" s="44">
        <f t="shared" si="26"/>
        <v>70.912569016786748</v>
      </c>
      <c r="I334" s="44">
        <f t="shared" si="26"/>
        <v>79.184649927342804</v>
      </c>
      <c r="J334" s="44">
        <f t="shared" si="26"/>
        <v>63.67716779081767</v>
      </c>
      <c r="K334" s="44"/>
      <c r="L334" s="44"/>
      <c r="M334" s="44"/>
      <c r="N334" s="44"/>
    </row>
    <row r="335" spans="1:14" x14ac:dyDescent="0.2">
      <c r="A335" s="54">
        <v>51257</v>
      </c>
      <c r="B335" s="44">
        <f t="shared" si="23"/>
        <v>7.9554459618142328</v>
      </c>
      <c r="C335" s="44">
        <f t="shared" si="24"/>
        <v>0.34580803122415738</v>
      </c>
      <c r="D335" s="44">
        <f t="shared" si="25"/>
        <v>8.3012539930383902</v>
      </c>
      <c r="E335" s="44"/>
      <c r="F335" s="44"/>
      <c r="G335" s="44"/>
      <c r="H335" s="44">
        <f t="shared" si="26"/>
        <v>77.099731761287131</v>
      </c>
      <c r="I335" s="44">
        <f t="shared" si="26"/>
        <v>89.482993787059058</v>
      </c>
      <c r="J335" s="44">
        <f t="shared" si="26"/>
        <v>65.983191330214353</v>
      </c>
      <c r="K335" s="44"/>
      <c r="L335" s="44"/>
      <c r="M335" s="44"/>
      <c r="N335" s="44"/>
    </row>
    <row r="336" spans="1:14" x14ac:dyDescent="0.2">
      <c r="A336" s="54">
        <v>51288</v>
      </c>
      <c r="B336" s="44">
        <f t="shared" si="23"/>
        <v>8.154332110859583</v>
      </c>
      <c r="C336" s="44">
        <f t="shared" si="24"/>
        <v>0.35022260183552945</v>
      </c>
      <c r="D336" s="44">
        <f t="shared" si="25"/>
        <v>8.5045547126951124</v>
      </c>
      <c r="E336" s="44"/>
      <c r="F336" s="44"/>
      <c r="G336" s="44"/>
      <c r="H336" s="44">
        <f t="shared" ref="H336:J342" si="27">H324*(1+H$4)</f>
        <v>80.856733515536533</v>
      </c>
      <c r="I336" s="44">
        <f t="shared" si="27"/>
        <v>94.721655342051577</v>
      </c>
      <c r="J336" s="44">
        <f t="shared" si="27"/>
        <v>67.593266179323322</v>
      </c>
      <c r="K336" s="44"/>
      <c r="L336" s="44"/>
      <c r="M336" s="44"/>
      <c r="N336" s="44"/>
    </row>
    <row r="337" spans="1:19" x14ac:dyDescent="0.2">
      <c r="A337" s="54">
        <v>51318</v>
      </c>
      <c r="B337" s="44">
        <f t="shared" si="23"/>
        <v>8.4526613344276242</v>
      </c>
      <c r="C337" s="44">
        <f t="shared" si="24"/>
        <v>0.35905174305827003</v>
      </c>
      <c r="D337" s="44">
        <f t="shared" si="25"/>
        <v>8.8117130774858943</v>
      </c>
      <c r="E337" s="44"/>
      <c r="F337" s="44"/>
      <c r="G337" s="44"/>
      <c r="H337" s="44">
        <f t="shared" si="27"/>
        <v>91.26207872762869</v>
      </c>
      <c r="I337" s="44">
        <f t="shared" si="27"/>
        <v>115.65797716266525</v>
      </c>
      <c r="J337" s="44">
        <f t="shared" si="27"/>
        <v>71.170980182114448</v>
      </c>
      <c r="K337" s="44"/>
      <c r="L337" s="44"/>
      <c r="M337" s="44"/>
      <c r="N337" s="44"/>
    </row>
    <row r="338" spans="1:19" x14ac:dyDescent="0.2">
      <c r="A338" s="54">
        <v>51349</v>
      </c>
      <c r="B338" s="44">
        <f t="shared" si="23"/>
        <v>8.4526613344276242</v>
      </c>
      <c r="C338" s="44">
        <f t="shared" si="24"/>
        <v>0.36788088428101773</v>
      </c>
      <c r="D338" s="44">
        <f t="shared" si="25"/>
        <v>8.820542218708642</v>
      </c>
      <c r="E338" s="44"/>
      <c r="F338" s="44"/>
      <c r="G338" s="44"/>
      <c r="H338" s="44">
        <f t="shared" si="27"/>
        <v>80.140468022377021</v>
      </c>
      <c r="I338" s="44">
        <f t="shared" si="27"/>
        <v>90.425606317288228</v>
      </c>
      <c r="J338" s="44">
        <f t="shared" si="27"/>
        <v>70.073482915813145</v>
      </c>
      <c r="K338" s="44"/>
      <c r="L338" s="44"/>
      <c r="M338" s="44"/>
      <c r="N338" s="44"/>
    </row>
    <row r="339" spans="1:19" x14ac:dyDescent="0.2">
      <c r="A339" s="54">
        <v>51380</v>
      </c>
      <c r="B339" s="44">
        <f t="shared" si="23"/>
        <v>7.9554459618142328</v>
      </c>
      <c r="C339" s="44">
        <f t="shared" si="24"/>
        <v>0.361994790132524</v>
      </c>
      <c r="D339" s="44">
        <f t="shared" si="25"/>
        <v>8.3174407519467568</v>
      </c>
      <c r="E339" s="44"/>
      <c r="F339" s="44"/>
      <c r="G339" s="44"/>
      <c r="H339" s="44">
        <f t="shared" si="27"/>
        <v>71.314334686229941</v>
      </c>
      <c r="I339" s="44">
        <f t="shared" si="27"/>
        <v>76.081419323443967</v>
      </c>
      <c r="J339" s="44">
        <f t="shared" si="27"/>
        <v>66.62648343784646</v>
      </c>
      <c r="K339" s="44"/>
      <c r="L339" s="44"/>
      <c r="M339" s="44"/>
      <c r="N339" s="44"/>
    </row>
    <row r="340" spans="1:19" x14ac:dyDescent="0.2">
      <c r="A340" s="54">
        <v>51410</v>
      </c>
      <c r="B340" s="44">
        <f t="shared" si="23"/>
        <v>7.4582305892008387</v>
      </c>
      <c r="C340" s="44">
        <f t="shared" si="24"/>
        <v>0.36199479013252756</v>
      </c>
      <c r="D340" s="44">
        <f t="shared" si="25"/>
        <v>7.8202253793333663</v>
      </c>
      <c r="E340" s="44"/>
      <c r="F340" s="44"/>
      <c r="G340" s="44"/>
      <c r="H340" s="44">
        <f t="shared" si="27"/>
        <v>68.066502719241498</v>
      </c>
      <c r="I340" s="44">
        <f t="shared" si="27"/>
        <v>72.783428776486886</v>
      </c>
      <c r="J340" s="44">
        <f t="shared" si="27"/>
        <v>63.679128772915583</v>
      </c>
      <c r="K340" s="44"/>
      <c r="L340" s="44"/>
      <c r="M340" s="44"/>
      <c r="N340" s="44"/>
    </row>
    <row r="341" spans="1:19" x14ac:dyDescent="0.2">
      <c r="A341" s="54">
        <v>51441</v>
      </c>
      <c r="B341" s="44">
        <f t="shared" si="23"/>
        <v>7.9554459618142328</v>
      </c>
      <c r="C341" s="44">
        <f t="shared" si="24"/>
        <v>0.54247715196079227</v>
      </c>
      <c r="D341" s="44">
        <f t="shared" si="25"/>
        <v>8.4979231137750251</v>
      </c>
      <c r="E341" s="44"/>
      <c r="F341" s="44"/>
      <c r="G341" s="44"/>
      <c r="H341" s="44">
        <f t="shared" si="27"/>
        <v>76.767236034851365</v>
      </c>
      <c r="I341" s="44">
        <f t="shared" si="27"/>
        <v>83.624831850426588</v>
      </c>
      <c r="J341" s="44">
        <f t="shared" si="27"/>
        <v>70.149788399836169</v>
      </c>
      <c r="K341" s="44"/>
      <c r="L341" s="44"/>
      <c r="M341" s="44"/>
      <c r="N341" s="44"/>
    </row>
    <row r="342" spans="1:19" x14ac:dyDescent="0.2">
      <c r="A342" s="54">
        <v>51471</v>
      </c>
      <c r="B342" s="44">
        <f t="shared" si="23"/>
        <v>8.4526613344276242</v>
      </c>
      <c r="C342" s="44">
        <f t="shared" si="24"/>
        <v>2.7435967740263649</v>
      </c>
      <c r="D342" s="44">
        <f t="shared" si="25"/>
        <v>11.196258108453989</v>
      </c>
      <c r="E342" s="44"/>
      <c r="F342" s="44"/>
      <c r="G342" s="44"/>
      <c r="H342" s="44">
        <f t="shared" si="27"/>
        <v>105.27031792385682</v>
      </c>
      <c r="I342" s="44">
        <f t="shared" si="27"/>
        <v>120.7525800881422</v>
      </c>
      <c r="J342" s="44">
        <f t="shared" si="27"/>
        <v>91.367426170849924</v>
      </c>
      <c r="K342" s="44"/>
      <c r="L342" s="44"/>
      <c r="M342" s="44"/>
      <c r="N342" s="44"/>
    </row>
    <row r="343" spans="1:19" x14ac:dyDescent="0.2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9" s="298" customFormat="1" ht="28.5" customHeight="1" thickBot="1" x14ac:dyDescent="0.25">
      <c r="A344" s="297"/>
      <c r="B344" s="325" t="s">
        <v>73</v>
      </c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</row>
    <row r="345" spans="1:19" x14ac:dyDescent="0.2">
      <c r="A345" s="297"/>
      <c r="B345" s="49"/>
      <c r="C345" s="44"/>
      <c r="D345" s="49"/>
      <c r="E345" s="44"/>
      <c r="F345" s="49"/>
      <c r="G345" s="44"/>
      <c r="H345" s="49"/>
      <c r="I345" s="49"/>
      <c r="J345" s="49"/>
      <c r="K345" s="49"/>
      <c r="L345" s="49"/>
      <c r="M345" s="49"/>
      <c r="N345" s="49"/>
      <c r="O345" s="299"/>
      <c r="P345" s="299"/>
      <c r="Q345" s="299"/>
      <c r="R345" s="299"/>
      <c r="S345" s="299"/>
    </row>
    <row r="346" spans="1:19" x14ac:dyDescent="0.2">
      <c r="A346" s="48">
        <v>2012</v>
      </c>
      <c r="B346" s="49">
        <v>3.1953333333333336</v>
      </c>
      <c r="C346" s="44">
        <f>D346-B346</f>
        <v>1.7250000000000001</v>
      </c>
      <c r="D346" s="49">
        <v>4.9203333333333337</v>
      </c>
      <c r="E346" s="44"/>
      <c r="F346" s="49"/>
      <c r="G346" s="44"/>
      <c r="H346" s="49">
        <v>43.380499999999998</v>
      </c>
      <c r="I346" s="49">
        <v>49.116014000000007</v>
      </c>
      <c r="J346" s="49">
        <v>38.462631500000001</v>
      </c>
      <c r="K346" s="49"/>
      <c r="L346" s="49"/>
      <c r="M346" s="49"/>
      <c r="N346" s="49"/>
      <c r="O346" s="299"/>
      <c r="P346" s="299"/>
      <c r="Q346" s="300"/>
      <c r="R346" s="300"/>
      <c r="S346" s="300"/>
    </row>
    <row r="347" spans="1:19" x14ac:dyDescent="0.2">
      <c r="A347" s="48">
        <f>A346+1</f>
        <v>2013</v>
      </c>
      <c r="B347" s="49">
        <v>3.5475555555555549</v>
      </c>
      <c r="C347" s="44">
        <f t="shared" ref="C347:C362" si="28">D347-B347</f>
        <v>1.2537500000000006</v>
      </c>
      <c r="D347" s="49">
        <v>4.8013055555555555</v>
      </c>
      <c r="E347" s="44"/>
      <c r="F347" s="49"/>
      <c r="G347" s="44"/>
      <c r="H347" s="49">
        <v>43.37189166666667</v>
      </c>
      <c r="I347" s="49">
        <v>50.146464416666674</v>
      </c>
      <c r="J347" s="49">
        <v>37.074873500000002</v>
      </c>
      <c r="K347" s="49"/>
      <c r="L347" s="49"/>
      <c r="M347" s="49"/>
      <c r="N347" s="49"/>
      <c r="O347" s="299"/>
      <c r="P347" s="299"/>
      <c r="Q347" s="300"/>
      <c r="R347" s="300"/>
      <c r="S347" s="300"/>
    </row>
    <row r="348" spans="1:19" x14ac:dyDescent="0.2">
      <c r="A348" s="48">
        <f t="shared" ref="A348:A374" si="29">A347+1</f>
        <v>2014</v>
      </c>
      <c r="B348" s="49">
        <v>4.0498383333333328</v>
      </c>
      <c r="C348" s="44">
        <f t="shared" si="28"/>
        <v>1.2350833333333346</v>
      </c>
      <c r="D348" s="49">
        <v>5.2849216666666674</v>
      </c>
      <c r="E348" s="44"/>
      <c r="F348" s="49"/>
      <c r="G348" s="44"/>
      <c r="H348" s="49">
        <v>47.220850000000006</v>
      </c>
      <c r="I348" s="49">
        <v>54.450519916666671</v>
      </c>
      <c r="J348" s="49">
        <v>40.465742999999996</v>
      </c>
      <c r="K348" s="49"/>
      <c r="L348" s="49"/>
      <c r="M348" s="49"/>
      <c r="N348" s="49"/>
      <c r="O348" s="299"/>
      <c r="P348" s="299"/>
      <c r="Q348" s="300"/>
      <c r="R348" s="300"/>
      <c r="S348" s="300"/>
    </row>
    <row r="349" spans="1:19" x14ac:dyDescent="0.2">
      <c r="A349" s="48">
        <f t="shared" si="29"/>
        <v>2015</v>
      </c>
      <c r="B349" s="49">
        <v>4.3951077777777785</v>
      </c>
      <c r="C349" s="44">
        <f t="shared" si="28"/>
        <v>1.1015000000000006</v>
      </c>
      <c r="D349" s="49">
        <v>5.4966077777777791</v>
      </c>
      <c r="E349" s="44"/>
      <c r="F349" s="49"/>
      <c r="G349" s="44"/>
      <c r="H349" s="49">
        <v>49.248283333333326</v>
      </c>
      <c r="I349" s="49">
        <v>56.759775666666677</v>
      </c>
      <c r="J349" s="49">
        <v>42.302033333333341</v>
      </c>
      <c r="K349" s="49"/>
      <c r="L349" s="49"/>
      <c r="M349" s="49"/>
      <c r="N349" s="49"/>
      <c r="O349" s="299"/>
      <c r="P349" s="299"/>
      <c r="Q349" s="300"/>
      <c r="R349" s="300"/>
      <c r="S349" s="300"/>
    </row>
    <row r="350" spans="1:19" x14ac:dyDescent="0.2">
      <c r="A350" s="48">
        <f t="shared" si="29"/>
        <v>2016</v>
      </c>
      <c r="B350" s="49">
        <v>4.6413506944444451</v>
      </c>
      <c r="C350" s="44">
        <f t="shared" si="28"/>
        <v>1.0474999999999994</v>
      </c>
      <c r="D350" s="49">
        <v>5.6888506944444446</v>
      </c>
      <c r="E350" s="44"/>
      <c r="F350" s="49"/>
      <c r="G350" s="44"/>
      <c r="H350" s="49">
        <v>51.737066666666671</v>
      </c>
      <c r="I350" s="49">
        <v>60.337322833333332</v>
      </c>
      <c r="J350" s="49">
        <v>44.064361833333329</v>
      </c>
      <c r="K350" s="49"/>
      <c r="L350" s="49"/>
      <c r="M350" s="49"/>
      <c r="N350" s="49"/>
      <c r="O350" s="299"/>
      <c r="P350" s="299"/>
      <c r="Q350" s="300"/>
      <c r="R350" s="300"/>
      <c r="S350" s="300"/>
    </row>
    <row r="351" spans="1:19" x14ac:dyDescent="0.2">
      <c r="A351" s="48">
        <f t="shared" si="29"/>
        <v>2017</v>
      </c>
      <c r="B351" s="49">
        <v>4.8616351</v>
      </c>
      <c r="C351" s="44">
        <f t="shared" si="28"/>
        <v>0.99633333333333418</v>
      </c>
      <c r="D351" s="49">
        <v>5.8579684333333342</v>
      </c>
      <c r="E351" s="44"/>
      <c r="F351" s="49"/>
      <c r="G351" s="44"/>
      <c r="H351" s="49">
        <v>52.448791666666672</v>
      </c>
      <c r="I351" s="49">
        <v>60.215569583333341</v>
      </c>
      <c r="J351" s="49">
        <v>45.455819416666657</v>
      </c>
      <c r="K351" s="49"/>
      <c r="L351" s="49"/>
      <c r="M351" s="49"/>
      <c r="N351" s="49"/>
      <c r="O351" s="299"/>
      <c r="P351" s="299"/>
      <c r="Q351" s="300"/>
      <c r="R351" s="300"/>
      <c r="S351" s="300"/>
    </row>
    <row r="352" spans="1:19" x14ac:dyDescent="0.2">
      <c r="A352" s="48">
        <f t="shared" si="29"/>
        <v>2018</v>
      </c>
      <c r="B352" s="49">
        <v>5.0365815500000002</v>
      </c>
      <c r="C352" s="44">
        <f t="shared" si="28"/>
        <v>0.9478333333333353</v>
      </c>
      <c r="D352" s="49">
        <v>5.9844148833333355</v>
      </c>
      <c r="E352" s="44"/>
      <c r="F352" s="49"/>
      <c r="G352" s="44"/>
      <c r="H352" s="49">
        <v>53.243133333333333</v>
      </c>
      <c r="I352" s="49">
        <v>60.67498608333333</v>
      </c>
      <c r="J352" s="49">
        <v>46.401518333333335</v>
      </c>
      <c r="K352" s="49"/>
      <c r="L352" s="49"/>
      <c r="M352" s="49"/>
      <c r="N352" s="49"/>
      <c r="O352" s="299"/>
      <c r="P352" s="299"/>
      <c r="Q352" s="300"/>
      <c r="R352" s="300"/>
      <c r="S352" s="300"/>
    </row>
    <row r="353" spans="1:19" x14ac:dyDescent="0.2">
      <c r="A353" s="48">
        <f t="shared" si="29"/>
        <v>2019</v>
      </c>
      <c r="B353" s="49">
        <v>5.1876789965000016</v>
      </c>
      <c r="C353" s="44">
        <f t="shared" si="28"/>
        <v>0.91234250000000028</v>
      </c>
      <c r="D353" s="49">
        <v>6.1000214965000019</v>
      </c>
      <c r="E353" s="44"/>
      <c r="F353" s="49"/>
      <c r="G353" s="44"/>
      <c r="H353" s="49">
        <v>54.638708333333319</v>
      </c>
      <c r="I353" s="49">
        <v>62.386328416666665</v>
      </c>
      <c r="J353" s="49">
        <v>47.465546916666661</v>
      </c>
      <c r="K353" s="49"/>
      <c r="L353" s="49"/>
      <c r="M353" s="49"/>
      <c r="N353" s="49"/>
      <c r="O353" s="299"/>
      <c r="P353" s="299"/>
      <c r="Q353" s="300"/>
      <c r="R353" s="300"/>
      <c r="S353" s="300"/>
    </row>
    <row r="354" spans="1:19" x14ac:dyDescent="0.2">
      <c r="A354" s="48">
        <f t="shared" si="29"/>
        <v>2020</v>
      </c>
      <c r="B354" s="49">
        <v>5.343309366395002</v>
      </c>
      <c r="C354" s="44">
        <f t="shared" si="28"/>
        <v>0.9214659249999988</v>
      </c>
      <c r="D354" s="49">
        <v>6.2647752913950008</v>
      </c>
      <c r="E354" s="44"/>
      <c r="F354" s="49"/>
      <c r="G354" s="44"/>
      <c r="H354" s="49">
        <v>57.12641666666665</v>
      </c>
      <c r="I354" s="49">
        <v>65.160816749999995</v>
      </c>
      <c r="J354" s="49">
        <v>49.614590249999999</v>
      </c>
      <c r="K354" s="49"/>
      <c r="L354" s="49"/>
      <c r="M354" s="49"/>
      <c r="N354" s="49"/>
      <c r="O354" s="299"/>
      <c r="P354" s="299"/>
      <c r="Q354" s="300"/>
      <c r="R354" s="300"/>
      <c r="S354" s="300"/>
    </row>
    <row r="355" spans="1:19" x14ac:dyDescent="0.2">
      <c r="A355" s="48">
        <f t="shared" si="29"/>
        <v>2021</v>
      </c>
      <c r="B355" s="49">
        <v>5.5036086473868515</v>
      </c>
      <c r="C355" s="44">
        <f t="shared" si="28"/>
        <v>0.93068058424999922</v>
      </c>
      <c r="D355" s="49">
        <v>6.4342892316368507</v>
      </c>
      <c r="E355" s="44"/>
      <c r="F355" s="49"/>
      <c r="G355" s="44"/>
      <c r="H355" s="49">
        <v>58.587483333333331</v>
      </c>
      <c r="I355" s="49">
        <v>66.919879083333342</v>
      </c>
      <c r="J355" s="49">
        <v>51.031231916666663</v>
      </c>
      <c r="K355" s="49"/>
      <c r="L355" s="49"/>
      <c r="M355" s="49"/>
      <c r="N355" s="49"/>
      <c r="O355" s="299"/>
      <c r="P355" s="299"/>
      <c r="Q355" s="300"/>
      <c r="R355" s="300"/>
      <c r="S355" s="300"/>
    </row>
    <row r="356" spans="1:19" x14ac:dyDescent="0.2">
      <c r="A356" s="48">
        <f t="shared" si="29"/>
        <v>2022</v>
      </c>
      <c r="B356" s="49">
        <v>5.6687169068084566</v>
      </c>
      <c r="C356" s="44">
        <f t="shared" si="28"/>
        <v>0.93998739009250087</v>
      </c>
      <c r="D356" s="49">
        <v>6.6087042969009575</v>
      </c>
      <c r="E356" s="44"/>
      <c r="F356" s="49"/>
      <c r="G356" s="44"/>
      <c r="H356" s="49">
        <v>61.030216666666668</v>
      </c>
      <c r="I356" s="49">
        <v>69.644073666666671</v>
      </c>
      <c r="J356" s="49">
        <v>53.345949916666676</v>
      </c>
      <c r="K356" s="49"/>
      <c r="L356" s="49"/>
      <c r="M356" s="49"/>
      <c r="N356" s="49"/>
      <c r="O356" s="301" t="e">
        <v>#DIV/0!</v>
      </c>
      <c r="P356" s="301"/>
      <c r="Q356" s="300"/>
      <c r="R356" s="300"/>
      <c r="S356" s="300"/>
    </row>
    <row r="357" spans="1:19" x14ac:dyDescent="0.2">
      <c r="A357" s="48">
        <f t="shared" si="29"/>
        <v>2023</v>
      </c>
      <c r="B357" s="49">
        <f>B356*(1+B$4)</f>
        <v>5.7820912449446258</v>
      </c>
      <c r="C357" s="44">
        <f t="shared" si="28"/>
        <v>0.9587871378943511</v>
      </c>
      <c r="D357" s="49">
        <f>D356*(1+D$4)</f>
        <v>6.7408783828389769</v>
      </c>
      <c r="E357" s="44"/>
      <c r="F357" s="49"/>
      <c r="G357" s="49"/>
      <c r="H357" s="49">
        <f t="shared" ref="H357:J372" si="30">H356*(1+H$4)</f>
        <v>62.250821000000002</v>
      </c>
      <c r="I357" s="49">
        <f t="shared" si="30"/>
        <v>71.036955140000003</v>
      </c>
      <c r="J357" s="49">
        <f t="shared" si="30"/>
        <v>54.412868915000011</v>
      </c>
      <c r="K357" s="49"/>
      <c r="L357" s="49"/>
      <c r="M357" s="49"/>
      <c r="N357" s="49"/>
    </row>
    <row r="358" spans="1:19" x14ac:dyDescent="0.2">
      <c r="A358" s="48">
        <f t="shared" si="29"/>
        <v>2024</v>
      </c>
      <c r="B358" s="49">
        <f t="shared" ref="B358:B374" si="31">B357*(1+B$4)</f>
        <v>5.8977330698435182</v>
      </c>
      <c r="C358" s="44">
        <f t="shared" si="28"/>
        <v>0.97796288065223802</v>
      </c>
      <c r="D358" s="49">
        <f t="shared" ref="D358:D374" si="32">D357*(1+D$4)</f>
        <v>6.8756959504957562</v>
      </c>
      <c r="E358" s="44"/>
      <c r="F358" s="49"/>
      <c r="G358" s="49"/>
      <c r="H358" s="49">
        <f t="shared" si="30"/>
        <v>63.495837420000001</v>
      </c>
      <c r="I358" s="49">
        <f t="shared" si="30"/>
        <v>72.457694242800002</v>
      </c>
      <c r="J358" s="49">
        <f t="shared" si="30"/>
        <v>55.501126293300011</v>
      </c>
      <c r="K358" s="49"/>
      <c r="L358" s="49"/>
      <c r="M358" s="49"/>
      <c r="N358" s="49"/>
    </row>
    <row r="359" spans="1:19" x14ac:dyDescent="0.2">
      <c r="A359" s="48">
        <f t="shared" si="29"/>
        <v>2025</v>
      </c>
      <c r="B359" s="49">
        <f t="shared" si="31"/>
        <v>6.0156877312403889</v>
      </c>
      <c r="C359" s="44">
        <f t="shared" si="28"/>
        <v>0.9975221382652828</v>
      </c>
      <c r="D359" s="49">
        <f t="shared" si="32"/>
        <v>7.0132098695056717</v>
      </c>
      <c r="E359" s="44"/>
      <c r="F359" s="49"/>
      <c r="G359" s="49"/>
      <c r="H359" s="49">
        <f t="shared" si="30"/>
        <v>64.765754168400008</v>
      </c>
      <c r="I359" s="49">
        <f t="shared" si="30"/>
        <v>73.906848127656005</v>
      </c>
      <c r="J359" s="49">
        <f t="shared" si="30"/>
        <v>56.611148819166011</v>
      </c>
      <c r="K359" s="49"/>
      <c r="L359" s="49"/>
      <c r="M359" s="49"/>
      <c r="N359" s="49"/>
    </row>
    <row r="360" spans="1:19" x14ac:dyDescent="0.2">
      <c r="A360" s="48">
        <f t="shared" si="29"/>
        <v>2026</v>
      </c>
      <c r="B360" s="49">
        <f t="shared" si="31"/>
        <v>6.1360014858651972</v>
      </c>
      <c r="C360" s="44">
        <f t="shared" si="28"/>
        <v>1.0174725810305878</v>
      </c>
      <c r="D360" s="49">
        <f t="shared" si="32"/>
        <v>7.153474066895785</v>
      </c>
      <c r="E360" s="44"/>
      <c r="F360" s="49"/>
      <c r="G360" s="49"/>
      <c r="H360" s="49">
        <f t="shared" si="30"/>
        <v>66.061069251768004</v>
      </c>
      <c r="I360" s="49">
        <f t="shared" si="30"/>
        <v>75.384985090209128</v>
      </c>
      <c r="J360" s="49">
        <f t="shared" si="30"/>
        <v>57.743371795549329</v>
      </c>
      <c r="K360" s="49"/>
      <c r="L360" s="49"/>
      <c r="M360" s="49"/>
      <c r="N360" s="49"/>
    </row>
    <row r="361" spans="1:19" x14ac:dyDescent="0.2">
      <c r="A361" s="48">
        <f t="shared" si="29"/>
        <v>2027</v>
      </c>
      <c r="B361" s="49">
        <f t="shared" si="31"/>
        <v>6.2587215155825016</v>
      </c>
      <c r="C361" s="44">
        <f t="shared" si="28"/>
        <v>1.0378220326511993</v>
      </c>
      <c r="D361" s="49">
        <f t="shared" si="32"/>
        <v>7.2965435482337009</v>
      </c>
      <c r="E361" s="44"/>
      <c r="F361" s="49"/>
      <c r="G361" s="49"/>
      <c r="H361" s="49">
        <f t="shared" si="30"/>
        <v>67.382290636803361</v>
      </c>
      <c r="I361" s="49">
        <f t="shared" si="30"/>
        <v>76.892684792013313</v>
      </c>
      <c r="J361" s="49">
        <f t="shared" si="30"/>
        <v>58.898239231460316</v>
      </c>
      <c r="K361" s="49"/>
      <c r="L361" s="49"/>
      <c r="M361" s="49"/>
      <c r="N361" s="49"/>
    </row>
    <row r="362" spans="1:19" x14ac:dyDescent="0.2">
      <c r="A362" s="48">
        <f t="shared" si="29"/>
        <v>2028</v>
      </c>
      <c r="B362" s="49">
        <f t="shared" si="31"/>
        <v>6.3838959458941513</v>
      </c>
      <c r="C362" s="44">
        <f t="shared" si="28"/>
        <v>1.0585784733042241</v>
      </c>
      <c r="D362" s="49">
        <f t="shared" si="32"/>
        <v>7.4424744191983754</v>
      </c>
      <c r="E362" s="44"/>
      <c r="F362" s="49"/>
      <c r="G362" s="49"/>
      <c r="H362" s="49">
        <f t="shared" si="30"/>
        <v>68.729936449539423</v>
      </c>
      <c r="I362" s="49">
        <f t="shared" si="30"/>
        <v>78.430538487853582</v>
      </c>
      <c r="J362" s="49">
        <f t="shared" si="30"/>
        <v>60.076204016089527</v>
      </c>
      <c r="K362" s="49"/>
      <c r="L362" s="49"/>
      <c r="M362" s="49"/>
      <c r="N362" s="49"/>
    </row>
    <row r="363" spans="1:19" x14ac:dyDescent="0.2">
      <c r="A363" s="48">
        <f t="shared" si="29"/>
        <v>2029</v>
      </c>
      <c r="B363" s="49">
        <f t="shared" si="31"/>
        <v>6.5115738648120347</v>
      </c>
      <c r="C363" s="44">
        <f t="shared" ref="C363:C374" si="33">D363-B363</f>
        <v>1.0797500427703079</v>
      </c>
      <c r="D363" s="49">
        <f t="shared" si="32"/>
        <v>7.5913239075823427</v>
      </c>
      <c r="E363" s="44"/>
      <c r="F363" s="49"/>
      <c r="G363" s="49"/>
      <c r="H363" s="49">
        <f t="shared" si="30"/>
        <v>70.104535178530213</v>
      </c>
      <c r="I363" s="49">
        <f t="shared" si="30"/>
        <v>79.999149257610654</v>
      </c>
      <c r="J363" s="49">
        <f t="shared" si="30"/>
        <v>61.277728096411316</v>
      </c>
      <c r="K363" s="49"/>
      <c r="L363" s="49"/>
      <c r="M363" s="49"/>
      <c r="N363" s="49"/>
    </row>
    <row r="364" spans="1:19" x14ac:dyDescent="0.2">
      <c r="A364" s="48">
        <f t="shared" si="29"/>
        <v>2030</v>
      </c>
      <c r="B364" s="49">
        <f t="shared" si="31"/>
        <v>6.6418053421082757</v>
      </c>
      <c r="C364" s="44">
        <f t="shared" si="33"/>
        <v>1.1013450436257139</v>
      </c>
      <c r="D364" s="49">
        <f t="shared" si="32"/>
        <v>7.7431503857339896</v>
      </c>
      <c r="E364" s="44"/>
      <c r="F364" s="49"/>
      <c r="G364" s="49"/>
      <c r="H364" s="49">
        <f t="shared" si="30"/>
        <v>71.50662588210082</v>
      </c>
      <c r="I364" s="49">
        <f t="shared" si="30"/>
        <v>81.599132242762863</v>
      </c>
      <c r="J364" s="49">
        <f t="shared" si="30"/>
        <v>62.503282658339543</v>
      </c>
      <c r="K364" s="49"/>
      <c r="L364" s="49"/>
      <c r="M364" s="49"/>
      <c r="N364" s="49"/>
    </row>
    <row r="365" spans="1:19" x14ac:dyDescent="0.2">
      <c r="A365" s="48">
        <f t="shared" si="29"/>
        <v>2031</v>
      </c>
      <c r="B365" s="49">
        <f t="shared" si="31"/>
        <v>6.7746414489504412</v>
      </c>
      <c r="C365" s="44">
        <f t="shared" si="33"/>
        <v>1.1233719444982286</v>
      </c>
      <c r="D365" s="49">
        <f t="shared" si="32"/>
        <v>7.8980133934486698</v>
      </c>
      <c r="E365" s="44"/>
      <c r="F365" s="49"/>
      <c r="G365" s="49"/>
      <c r="H365" s="49">
        <f t="shared" si="30"/>
        <v>72.936758399742843</v>
      </c>
      <c r="I365" s="49">
        <f t="shared" si="30"/>
        <v>83.231114887618119</v>
      </c>
      <c r="J365" s="49">
        <f t="shared" si="30"/>
        <v>63.753348311506336</v>
      </c>
      <c r="K365" s="49"/>
      <c r="L365" s="49"/>
      <c r="M365" s="49"/>
      <c r="N365" s="49"/>
    </row>
    <row r="366" spans="1:19" x14ac:dyDescent="0.2">
      <c r="A366" s="48">
        <f t="shared" si="29"/>
        <v>2032</v>
      </c>
      <c r="B366" s="49">
        <f t="shared" si="31"/>
        <v>6.9101342779294503</v>
      </c>
      <c r="C366" s="44">
        <f t="shared" si="33"/>
        <v>1.1458393833881937</v>
      </c>
      <c r="D366" s="49">
        <f t="shared" si="32"/>
        <v>8.055973661317644</v>
      </c>
      <c r="E366" s="44"/>
      <c r="F366" s="49"/>
      <c r="G366" s="49"/>
      <c r="H366" s="49">
        <f t="shared" si="30"/>
        <v>74.395493567737702</v>
      </c>
      <c r="I366" s="49">
        <f t="shared" si="30"/>
        <v>84.895737185370479</v>
      </c>
      <c r="J366" s="49">
        <f t="shared" si="30"/>
        <v>65.028415277736471</v>
      </c>
      <c r="K366" s="49"/>
      <c r="L366" s="49"/>
      <c r="M366" s="49"/>
      <c r="N366" s="49"/>
    </row>
    <row r="367" spans="1:19" x14ac:dyDescent="0.2">
      <c r="A367" s="48">
        <f t="shared" si="29"/>
        <v>2033</v>
      </c>
      <c r="B367" s="49">
        <f t="shared" si="31"/>
        <v>7.0483369634880395</v>
      </c>
      <c r="C367" s="44">
        <f t="shared" si="33"/>
        <v>1.168756171055958</v>
      </c>
      <c r="D367" s="49">
        <f t="shared" si="32"/>
        <v>8.2170931345439975</v>
      </c>
      <c r="E367" s="44"/>
      <c r="F367" s="49"/>
      <c r="G367" s="49"/>
      <c r="H367" s="49">
        <f t="shared" si="30"/>
        <v>75.883403439092461</v>
      </c>
      <c r="I367" s="49">
        <f t="shared" si="30"/>
        <v>86.593651929077893</v>
      </c>
      <c r="J367" s="49">
        <f t="shared" si="30"/>
        <v>66.328983583291205</v>
      </c>
      <c r="K367" s="49"/>
      <c r="L367" s="49"/>
      <c r="M367" s="49"/>
      <c r="N367" s="49"/>
    </row>
    <row r="368" spans="1:19" x14ac:dyDescent="0.2">
      <c r="A368" s="48">
        <f t="shared" si="29"/>
        <v>2034</v>
      </c>
      <c r="B368" s="49">
        <f t="shared" si="31"/>
        <v>7.1893037027578002</v>
      </c>
      <c r="C368" s="44">
        <f t="shared" si="33"/>
        <v>1.1921312944770781</v>
      </c>
      <c r="D368" s="49">
        <f t="shared" si="32"/>
        <v>8.3814349972348783</v>
      </c>
      <c r="E368" s="44"/>
      <c r="F368" s="49"/>
      <c r="G368" s="49"/>
      <c r="H368" s="49">
        <f t="shared" si="30"/>
        <v>77.401071507874306</v>
      </c>
      <c r="I368" s="49">
        <f t="shared" si="30"/>
        <v>88.325524967659447</v>
      </c>
      <c r="J368" s="49">
        <f t="shared" si="30"/>
        <v>67.65556325495703</v>
      </c>
      <c r="K368" s="49"/>
      <c r="L368" s="49"/>
      <c r="M368" s="49"/>
      <c r="N368" s="49"/>
    </row>
    <row r="369" spans="1:14" x14ac:dyDescent="0.2">
      <c r="A369" s="48">
        <f t="shared" si="29"/>
        <v>2035</v>
      </c>
      <c r="B369" s="49">
        <f t="shared" si="31"/>
        <v>7.3330897768129564</v>
      </c>
      <c r="C369" s="44">
        <f t="shared" si="33"/>
        <v>1.2159739203666202</v>
      </c>
      <c r="D369" s="49">
        <f t="shared" si="32"/>
        <v>8.5490636971795766</v>
      </c>
      <c r="E369" s="44"/>
      <c r="F369" s="49"/>
      <c r="G369" s="49"/>
      <c r="H369" s="49">
        <f t="shared" si="30"/>
        <v>78.949092938031797</v>
      </c>
      <c r="I369" s="49">
        <f t="shared" si="30"/>
        <v>90.092035467012636</v>
      </c>
      <c r="J369" s="49">
        <f t="shared" si="30"/>
        <v>69.008674520056175</v>
      </c>
      <c r="K369" s="49"/>
      <c r="L369" s="49"/>
      <c r="M369" s="49"/>
      <c r="N369" s="49"/>
    </row>
    <row r="370" spans="1:14" x14ac:dyDescent="0.2">
      <c r="A370" s="48">
        <f t="shared" si="29"/>
        <v>2036</v>
      </c>
      <c r="B370" s="49">
        <f t="shared" si="31"/>
        <v>7.4797515723492154</v>
      </c>
      <c r="C370" s="44">
        <f t="shared" si="33"/>
        <v>1.2402933987739537</v>
      </c>
      <c r="D370" s="49">
        <f t="shared" si="32"/>
        <v>8.7200449711231691</v>
      </c>
      <c r="E370" s="44"/>
      <c r="F370" s="49"/>
      <c r="G370" s="49"/>
      <c r="H370" s="49">
        <f t="shared" si="30"/>
        <v>80.528074796792438</v>
      </c>
      <c r="I370" s="49">
        <f t="shared" si="30"/>
        <v>91.89387617635289</v>
      </c>
      <c r="J370" s="49">
        <f t="shared" si="30"/>
        <v>70.388848010457295</v>
      </c>
      <c r="K370" s="49"/>
      <c r="L370" s="49"/>
      <c r="M370" s="49"/>
      <c r="N370" s="49"/>
    </row>
    <row r="371" spans="1:14" x14ac:dyDescent="0.2">
      <c r="A371" s="48">
        <f t="shared" si="29"/>
        <v>2037</v>
      </c>
      <c r="B371" s="49">
        <f t="shared" si="31"/>
        <v>7.6293466037961997</v>
      </c>
      <c r="C371" s="44">
        <f t="shared" si="33"/>
        <v>1.2650992667494334</v>
      </c>
      <c r="D371" s="49">
        <f t="shared" si="32"/>
        <v>8.8944458705456331</v>
      </c>
      <c r="E371" s="44"/>
      <c r="F371" s="49"/>
      <c r="G371" s="49"/>
      <c r="H371" s="49">
        <f t="shared" si="30"/>
        <v>82.138636292728293</v>
      </c>
      <c r="I371" s="49">
        <f t="shared" si="30"/>
        <v>93.731753699879945</v>
      </c>
      <c r="J371" s="49">
        <f t="shared" si="30"/>
        <v>71.796624970666443</v>
      </c>
      <c r="K371" s="49"/>
      <c r="L371" s="49"/>
      <c r="M371" s="49"/>
      <c r="N371" s="49"/>
    </row>
    <row r="372" spans="1:14" x14ac:dyDescent="0.2">
      <c r="A372" s="48">
        <f t="shared" si="29"/>
        <v>2038</v>
      </c>
      <c r="B372" s="49">
        <f t="shared" si="31"/>
        <v>7.781933535872124</v>
      </c>
      <c r="C372" s="44">
        <f t="shared" si="33"/>
        <v>1.2904012520844219</v>
      </c>
      <c r="D372" s="49">
        <f t="shared" si="32"/>
        <v>9.0723347879565459</v>
      </c>
      <c r="E372" s="44"/>
      <c r="F372" s="49"/>
      <c r="G372" s="49"/>
      <c r="H372" s="49">
        <f t="shared" si="30"/>
        <v>83.781409018582863</v>
      </c>
      <c r="I372" s="49">
        <f t="shared" si="30"/>
        <v>95.606388773877541</v>
      </c>
      <c r="J372" s="49">
        <f t="shared" si="30"/>
        <v>73.232557470079769</v>
      </c>
      <c r="K372" s="49"/>
      <c r="L372" s="49"/>
      <c r="M372" s="49"/>
      <c r="N372" s="49"/>
    </row>
    <row r="373" spans="1:14" x14ac:dyDescent="0.2">
      <c r="A373" s="48">
        <f t="shared" si="29"/>
        <v>2039</v>
      </c>
      <c r="B373" s="49">
        <f t="shared" si="31"/>
        <v>7.9375722065895662</v>
      </c>
      <c r="C373" s="44">
        <f t="shared" si="33"/>
        <v>1.3162092771261111</v>
      </c>
      <c r="D373" s="49">
        <f t="shared" si="32"/>
        <v>9.2537814837156773</v>
      </c>
      <c r="E373" s="44"/>
      <c r="F373" s="49"/>
      <c r="G373" s="49"/>
      <c r="H373" s="49">
        <f t="shared" ref="H373:J374" si="34">H372*(1+H$4)</f>
        <v>85.457037198954524</v>
      </c>
      <c r="I373" s="49">
        <f t="shared" si="34"/>
        <v>97.518516549355098</v>
      </c>
      <c r="J373" s="49">
        <f t="shared" si="34"/>
        <v>74.697208619481358</v>
      </c>
      <c r="K373" s="49"/>
      <c r="L373" s="49"/>
      <c r="M373" s="49"/>
      <c r="N373" s="49"/>
    </row>
    <row r="374" spans="1:14" x14ac:dyDescent="0.2">
      <c r="A374" s="48">
        <f t="shared" si="29"/>
        <v>2040</v>
      </c>
      <c r="B374" s="49">
        <f t="shared" si="31"/>
        <v>8.0963236507213576</v>
      </c>
      <c r="C374" s="44">
        <f t="shared" si="33"/>
        <v>1.3425334626686336</v>
      </c>
      <c r="D374" s="49">
        <f t="shared" si="32"/>
        <v>9.4388571133899912</v>
      </c>
      <c r="E374" s="44"/>
      <c r="F374" s="49"/>
      <c r="G374" s="49"/>
      <c r="H374" s="49">
        <f t="shared" si="34"/>
        <v>87.166177942933615</v>
      </c>
      <c r="I374" s="49">
        <f t="shared" si="34"/>
        <v>99.468886880342197</v>
      </c>
      <c r="J374" s="49">
        <f t="shared" si="34"/>
        <v>76.191152791870991</v>
      </c>
      <c r="K374" s="49"/>
      <c r="L374" s="49"/>
      <c r="M374" s="49"/>
      <c r="N374" s="49"/>
    </row>
    <row r="375" spans="1:14" x14ac:dyDescent="0.2">
      <c r="A375"/>
      <c r="B375"/>
      <c r="C375"/>
      <c r="D375"/>
      <c r="E375"/>
      <c r="F375"/>
      <c r="G375"/>
      <c r="H375"/>
      <c r="I375"/>
      <c r="J375"/>
      <c r="K375" s="49"/>
      <c r="L375" s="49"/>
      <c r="M375" s="49"/>
      <c r="N375" s="49"/>
    </row>
    <row r="376" spans="1:14" x14ac:dyDescent="0.2">
      <c r="A376"/>
      <c r="B376"/>
      <c r="C376"/>
      <c r="D376"/>
      <c r="E376"/>
      <c r="F376"/>
      <c r="G376"/>
      <c r="H376"/>
      <c r="I376"/>
      <c r="J376"/>
      <c r="K376" s="49"/>
      <c r="L376" s="49"/>
      <c r="M376" s="49"/>
      <c r="N376" s="49"/>
    </row>
    <row r="377" spans="1:14" x14ac:dyDescent="0.2">
      <c r="A377"/>
      <c r="B377"/>
      <c r="C377"/>
      <c r="D377"/>
      <c r="E377"/>
      <c r="F377"/>
      <c r="G377"/>
      <c r="H377"/>
      <c r="I377"/>
      <c r="J377"/>
      <c r="K377" s="49"/>
      <c r="L377" s="49"/>
      <c r="M377" s="49"/>
      <c r="N377" s="49"/>
    </row>
    <row r="378" spans="1:14" x14ac:dyDescent="0.2">
      <c r="A378"/>
      <c r="B378"/>
      <c r="C378"/>
      <c r="D378"/>
      <c r="E378"/>
      <c r="F378"/>
      <c r="G378"/>
      <c r="H378"/>
      <c r="I378"/>
      <c r="J378"/>
      <c r="K378" s="49"/>
      <c r="L378" s="49"/>
      <c r="M378" s="49"/>
      <c r="N378" s="49"/>
    </row>
    <row r="379" spans="1:14" x14ac:dyDescent="0.2">
      <c r="A379"/>
      <c r="B379"/>
      <c r="C379"/>
      <c r="D379"/>
      <c r="E379"/>
      <c r="F379"/>
      <c r="G379"/>
      <c r="H379"/>
      <c r="I379"/>
      <c r="J379"/>
      <c r="K379" s="49"/>
      <c r="L379" s="49"/>
      <c r="M379" s="49"/>
      <c r="N379" s="49"/>
    </row>
    <row r="380" spans="1:14" x14ac:dyDescent="0.2">
      <c r="A380"/>
      <c r="B380"/>
      <c r="C380"/>
      <c r="D380"/>
      <c r="E380"/>
      <c r="F380"/>
      <c r="G380"/>
      <c r="H380"/>
      <c r="I380"/>
      <c r="J380"/>
      <c r="K380" s="49"/>
      <c r="L380" s="49"/>
      <c r="M380" s="49"/>
      <c r="N380" s="49"/>
    </row>
    <row r="381" spans="1:14" x14ac:dyDescent="0.2">
      <c r="A381"/>
      <c r="B381"/>
      <c r="C381"/>
      <c r="D381"/>
      <c r="E381"/>
      <c r="F381"/>
      <c r="G381"/>
      <c r="H381"/>
      <c r="I381"/>
      <c r="J381"/>
      <c r="K381" s="49"/>
      <c r="L381" s="49"/>
      <c r="M381" s="49"/>
      <c r="N381" s="49"/>
    </row>
    <row r="382" spans="1:14" x14ac:dyDescent="0.2">
      <c r="A382"/>
      <c r="B382"/>
      <c r="C382"/>
      <c r="D382"/>
      <c r="E382"/>
      <c r="F382"/>
      <c r="G382"/>
      <c r="H382"/>
      <c r="I382"/>
      <c r="J382"/>
      <c r="K382" s="49"/>
      <c r="L382" s="49"/>
      <c r="M382" s="49"/>
      <c r="N382" s="49"/>
    </row>
    <row r="383" spans="1:14" x14ac:dyDescent="0.2">
      <c r="A383"/>
      <c r="B383"/>
      <c r="C383"/>
      <c r="D383"/>
      <c r="E383"/>
      <c r="F383"/>
      <c r="G383"/>
      <c r="H383"/>
      <c r="I383"/>
      <c r="J383"/>
      <c r="K383" s="49"/>
      <c r="L383" s="49"/>
      <c r="M383" s="49"/>
      <c r="N383" s="49"/>
    </row>
    <row r="384" spans="1:14" x14ac:dyDescent="0.2">
      <c r="A384"/>
      <c r="B384"/>
      <c r="C384"/>
      <c r="D384"/>
      <c r="E384"/>
      <c r="F384"/>
      <c r="G384"/>
      <c r="H384"/>
      <c r="I384"/>
      <c r="J384"/>
      <c r="K384" s="49"/>
      <c r="L384" s="49"/>
      <c r="M384" s="49"/>
      <c r="N384" s="49"/>
    </row>
    <row r="385" spans="1:14" x14ac:dyDescent="0.2">
      <c r="A385"/>
      <c r="B385"/>
      <c r="C385"/>
      <c r="D385"/>
      <c r="E385"/>
      <c r="F385"/>
      <c r="G385"/>
      <c r="H385"/>
      <c r="I385"/>
      <c r="J385"/>
      <c r="K385" s="49"/>
      <c r="L385" s="49"/>
      <c r="M385" s="49"/>
      <c r="N385" s="49"/>
    </row>
    <row r="386" spans="1:14" x14ac:dyDescent="0.2">
      <c r="A386"/>
      <c r="B386"/>
      <c r="C386"/>
      <c r="D386"/>
      <c r="E386"/>
      <c r="F386"/>
      <c r="G386"/>
      <c r="H386"/>
      <c r="I386"/>
      <c r="J386"/>
      <c r="K386" s="49"/>
      <c r="L386" s="49"/>
      <c r="M386" s="49"/>
      <c r="N386" s="49"/>
    </row>
    <row r="387" spans="1:14" x14ac:dyDescent="0.2">
      <c r="A387"/>
      <c r="B387"/>
      <c r="C387"/>
      <c r="D387"/>
      <c r="E387"/>
      <c r="F387"/>
      <c r="G387"/>
      <c r="H387"/>
      <c r="I387"/>
      <c r="J387"/>
      <c r="K387" s="49"/>
      <c r="L387" s="49"/>
      <c r="M387" s="49"/>
      <c r="N387" s="49"/>
    </row>
    <row r="388" spans="1:14" x14ac:dyDescent="0.2">
      <c r="A388"/>
      <c r="B388"/>
      <c r="C388"/>
      <c r="D388"/>
      <c r="E388"/>
      <c r="F388"/>
      <c r="G388"/>
      <c r="H388"/>
      <c r="I388"/>
      <c r="J388"/>
      <c r="K388" s="49"/>
      <c r="L388" s="49"/>
      <c r="M388" s="49"/>
      <c r="N388" s="49"/>
    </row>
    <row r="389" spans="1:14" x14ac:dyDescent="0.2">
      <c r="A389"/>
      <c r="B389"/>
      <c r="C389"/>
      <c r="D389"/>
      <c r="E389"/>
      <c r="F389"/>
      <c r="G389"/>
      <c r="H389"/>
      <c r="I389"/>
      <c r="J389"/>
      <c r="K389" s="49"/>
      <c r="L389" s="49"/>
      <c r="M389" s="49"/>
      <c r="N389" s="49"/>
    </row>
    <row r="390" spans="1:14" x14ac:dyDescent="0.2">
      <c r="A390"/>
      <c r="B390"/>
      <c r="C390"/>
      <c r="D390"/>
      <c r="E390"/>
      <c r="F390"/>
      <c r="G390"/>
      <c r="H390"/>
      <c r="I390"/>
      <c r="J390"/>
      <c r="K390" s="49"/>
      <c r="L390" s="49"/>
      <c r="M390" s="49"/>
      <c r="N390" s="49"/>
    </row>
    <row r="391" spans="1:14" x14ac:dyDescent="0.2">
      <c r="A391"/>
      <c r="B391"/>
      <c r="C391"/>
      <c r="D391"/>
      <c r="E391"/>
      <c r="F391"/>
      <c r="G391"/>
      <c r="H391"/>
      <c r="I391"/>
      <c r="J391"/>
      <c r="K391" s="49"/>
      <c r="L391" s="49"/>
      <c r="M391" s="49"/>
      <c r="N391" s="49"/>
    </row>
    <row r="392" spans="1:14" x14ac:dyDescent="0.2">
      <c r="A392"/>
      <c r="B392"/>
      <c r="C392"/>
      <c r="D392"/>
      <c r="E392"/>
      <c r="F392"/>
      <c r="G392"/>
      <c r="H392"/>
      <c r="I392"/>
      <c r="J392"/>
      <c r="K392" s="49"/>
      <c r="L392" s="49"/>
      <c r="M392" s="49"/>
      <c r="N392" s="49"/>
    </row>
    <row r="393" spans="1:14" x14ac:dyDescent="0.2">
      <c r="A393"/>
      <c r="B393"/>
      <c r="C393"/>
      <c r="D393"/>
      <c r="E393"/>
      <c r="F393"/>
      <c r="G393"/>
      <c r="H393"/>
      <c r="I393"/>
      <c r="J393"/>
      <c r="K393" s="49"/>
      <c r="L393" s="49"/>
      <c r="M393" s="49"/>
      <c r="N393" s="49"/>
    </row>
    <row r="394" spans="1:14" x14ac:dyDescent="0.2">
      <c r="A394"/>
      <c r="B394"/>
      <c r="C394"/>
      <c r="D394"/>
      <c r="E394"/>
      <c r="F394"/>
      <c r="G394"/>
      <c r="H394"/>
      <c r="I394"/>
      <c r="J394"/>
      <c r="K394" s="49"/>
      <c r="L394" s="49"/>
      <c r="M394" s="49"/>
      <c r="N394" s="49"/>
    </row>
    <row r="395" spans="1:14" x14ac:dyDescent="0.2">
      <c r="A395"/>
      <c r="B395"/>
      <c r="C395"/>
      <c r="D395"/>
      <c r="E395"/>
      <c r="F395"/>
      <c r="G395"/>
      <c r="H395"/>
      <c r="I395"/>
      <c r="J395"/>
      <c r="K395" s="49"/>
      <c r="L395" s="49"/>
      <c r="M395" s="49"/>
      <c r="N395" s="49"/>
    </row>
    <row r="396" spans="1:14" x14ac:dyDescent="0.2">
      <c r="A396"/>
      <c r="B396"/>
      <c r="C396"/>
      <c r="D396"/>
      <c r="E396"/>
      <c r="F396"/>
      <c r="G396"/>
      <c r="H396"/>
      <c r="I396"/>
      <c r="J396"/>
      <c r="K396" s="49"/>
      <c r="L396" s="49"/>
      <c r="M396" s="49"/>
      <c r="N396" s="49"/>
    </row>
    <row r="397" spans="1:14" x14ac:dyDescent="0.2">
      <c r="A397"/>
      <c r="B397"/>
      <c r="C397"/>
      <c r="D397"/>
      <c r="E397"/>
      <c r="F397"/>
      <c r="G397"/>
      <c r="H397"/>
      <c r="I397"/>
      <c r="J397"/>
      <c r="K397" s="49"/>
      <c r="L397" s="49"/>
      <c r="M397" s="49"/>
      <c r="N397" s="49"/>
    </row>
    <row r="398" spans="1:14" x14ac:dyDescent="0.2">
      <c r="A398"/>
      <c r="B398"/>
      <c r="C398"/>
      <c r="D398"/>
      <c r="E398"/>
      <c r="F398"/>
      <c r="G398"/>
      <c r="H398"/>
      <c r="I398"/>
      <c r="J398"/>
      <c r="K398" s="49"/>
      <c r="L398" s="49"/>
      <c r="M398" s="49"/>
      <c r="N398" s="49"/>
    </row>
    <row r="399" spans="1:14" x14ac:dyDescent="0.2">
      <c r="A399"/>
      <c r="B399"/>
      <c r="C399"/>
      <c r="D399"/>
      <c r="E399"/>
      <c r="F399"/>
      <c r="G399"/>
      <c r="H399"/>
      <c r="I399"/>
      <c r="J399"/>
      <c r="K399" s="49"/>
      <c r="L399" s="49"/>
      <c r="M399" s="49"/>
      <c r="N399" s="49"/>
    </row>
    <row r="400" spans="1:14" x14ac:dyDescent="0.2">
      <c r="A400"/>
      <c r="B400"/>
      <c r="C400"/>
      <c r="D400"/>
      <c r="E400"/>
      <c r="F400"/>
      <c r="G400"/>
      <c r="H400"/>
      <c r="I400"/>
      <c r="J400"/>
      <c r="K400" s="49"/>
      <c r="L400" s="49"/>
      <c r="M400" s="49"/>
      <c r="N400" s="49"/>
    </row>
    <row r="401" spans="1:14" x14ac:dyDescent="0.2">
      <c r="A401" s="48"/>
      <c r="B401" s="49"/>
      <c r="C401" s="44"/>
      <c r="D401" s="49"/>
      <c r="E401" s="44"/>
      <c r="F401" s="49"/>
      <c r="G401" s="49"/>
      <c r="H401" s="49"/>
      <c r="I401" s="49"/>
      <c r="J401" s="49"/>
      <c r="K401" s="49"/>
      <c r="L401" s="49"/>
      <c r="M401" s="49"/>
      <c r="N401" s="49"/>
    </row>
    <row r="402" spans="1:14" s="303" customFormat="1" x14ac:dyDescent="0.2">
      <c r="A402" s="302">
        <v>1</v>
      </c>
      <c r="B402" s="74">
        <f>A402+1</f>
        <v>2</v>
      </c>
      <c r="C402" s="74">
        <f t="shared" ref="C402:N402" si="35">B402+1</f>
        <v>3</v>
      </c>
      <c r="D402" s="74">
        <f t="shared" si="35"/>
        <v>4</v>
      </c>
      <c r="E402" s="74">
        <f t="shared" si="35"/>
        <v>5</v>
      </c>
      <c r="F402" s="74">
        <f t="shared" si="35"/>
        <v>6</v>
      </c>
      <c r="G402" s="74">
        <f t="shared" si="35"/>
        <v>7</v>
      </c>
      <c r="H402" s="74">
        <f t="shared" si="35"/>
        <v>8</v>
      </c>
      <c r="I402" s="74">
        <f t="shared" si="35"/>
        <v>9</v>
      </c>
      <c r="J402" s="74">
        <f t="shared" si="35"/>
        <v>10</v>
      </c>
      <c r="K402" s="74">
        <f t="shared" si="35"/>
        <v>11</v>
      </c>
      <c r="L402" s="74">
        <f t="shared" si="35"/>
        <v>12</v>
      </c>
      <c r="M402" s="74">
        <f t="shared" si="35"/>
        <v>13</v>
      </c>
      <c r="N402" s="74">
        <f t="shared" si="35"/>
        <v>14</v>
      </c>
    </row>
    <row r="404" spans="1:14" s="298" customFormat="1" ht="28.5" customHeight="1" thickBot="1" x14ac:dyDescent="0.25">
      <c r="A404" s="297"/>
      <c r="B404" s="325" t="s">
        <v>104</v>
      </c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</row>
    <row r="405" spans="1:14" ht="51" x14ac:dyDescent="0.2">
      <c r="B405" s="304" t="s">
        <v>95</v>
      </c>
      <c r="C405" s="305" t="s">
        <v>266</v>
      </c>
      <c r="D405" s="305" t="s">
        <v>96</v>
      </c>
      <c r="E405" s="305" t="s">
        <v>267</v>
      </c>
      <c r="F405" s="305"/>
      <c r="H405" s="304" t="s">
        <v>0</v>
      </c>
      <c r="I405" s="305" t="s">
        <v>97</v>
      </c>
      <c r="J405" s="305" t="s">
        <v>98</v>
      </c>
      <c r="L405" s="292" t="s">
        <v>62</v>
      </c>
      <c r="M405" s="292" t="s">
        <v>63</v>
      </c>
      <c r="N405" s="292" t="s">
        <v>99</v>
      </c>
    </row>
    <row r="406" spans="1:14" x14ac:dyDescent="0.2">
      <c r="B406" s="292" t="s">
        <v>94</v>
      </c>
      <c r="C406" s="49">
        <v>3.15</v>
      </c>
      <c r="D406" s="74">
        <v>2017</v>
      </c>
      <c r="E406" s="44">
        <f t="shared" ref="E406:E414" si="36">C406*7/12+C407*5/12</f>
        <v>3.1916666666666669</v>
      </c>
      <c r="F406" s="44"/>
      <c r="H406" s="306">
        <v>0.02</v>
      </c>
      <c r="J406" s="44">
        <f>E406</f>
        <v>3.1916666666666669</v>
      </c>
      <c r="L406" s="292">
        <v>165</v>
      </c>
      <c r="M406" s="307">
        <f>L406*16*365</f>
        <v>963600</v>
      </c>
      <c r="N406" s="44">
        <f>(J406*12)*L406/M406*1000</f>
        <v>6.5582191780821928</v>
      </c>
    </row>
    <row r="407" spans="1:14" x14ac:dyDescent="0.2">
      <c r="B407" s="292" t="s">
        <v>84</v>
      </c>
      <c r="C407" s="49">
        <v>3.25</v>
      </c>
      <c r="D407" s="74">
        <f>D406+1</f>
        <v>2018</v>
      </c>
      <c r="E407" s="44">
        <f t="shared" si="36"/>
        <v>3.979166666666667</v>
      </c>
      <c r="F407" s="44"/>
      <c r="H407" s="308">
        <f>H406</f>
        <v>0.02</v>
      </c>
      <c r="I407" s="309">
        <f t="shared" ref="I407:I414" si="37">E407/E406-1</f>
        <v>0.24673629242819839</v>
      </c>
      <c r="J407" s="44">
        <f t="shared" ref="J407:J414" si="38">E407</f>
        <v>3.979166666666667</v>
      </c>
      <c r="L407" s="292">
        <f>L406</f>
        <v>165</v>
      </c>
      <c r="M407" s="310">
        <f>M406</f>
        <v>963600</v>
      </c>
      <c r="N407" s="44">
        <f t="shared" ref="N407:N429" si="39">(J407*12)*L407/M407*1000</f>
        <v>8.1763698630136972</v>
      </c>
    </row>
    <row r="408" spans="1:14" x14ac:dyDescent="0.2">
      <c r="B408" s="292" t="s">
        <v>85</v>
      </c>
      <c r="C408" s="49">
        <v>5</v>
      </c>
      <c r="D408" s="74">
        <f t="shared" ref="D408:D429" si="40">D407+1</f>
        <v>2019</v>
      </c>
      <c r="E408" s="44">
        <f t="shared" si="36"/>
        <v>5.625</v>
      </c>
      <c r="F408" s="44"/>
      <c r="H408" s="308">
        <f t="shared" ref="H408:H414" si="41">H407</f>
        <v>0.02</v>
      </c>
      <c r="I408" s="309">
        <f t="shared" si="37"/>
        <v>0.413612565445026</v>
      </c>
      <c r="J408" s="44">
        <f t="shared" si="38"/>
        <v>5.625</v>
      </c>
      <c r="L408" s="292">
        <f t="shared" ref="L408:L429" si="42">L407</f>
        <v>165</v>
      </c>
      <c r="M408" s="310">
        <f t="shared" ref="M408:M429" si="43">M407</f>
        <v>963600</v>
      </c>
      <c r="N408" s="44">
        <f t="shared" si="39"/>
        <v>11.558219178082192</v>
      </c>
    </row>
    <row r="409" spans="1:14" x14ac:dyDescent="0.2">
      <c r="B409" s="292" t="s">
        <v>86</v>
      </c>
      <c r="C409" s="49">
        <v>6.5</v>
      </c>
      <c r="D409" s="74">
        <f t="shared" si="40"/>
        <v>2020</v>
      </c>
      <c r="E409" s="44">
        <f t="shared" si="36"/>
        <v>7.083333333333333</v>
      </c>
      <c r="F409" s="44"/>
      <c r="H409" s="308">
        <f t="shared" si="41"/>
        <v>0.02</v>
      </c>
      <c r="I409" s="309">
        <f t="shared" si="37"/>
        <v>0.2592592592592593</v>
      </c>
      <c r="J409" s="44">
        <f t="shared" si="38"/>
        <v>7.083333333333333</v>
      </c>
      <c r="L409" s="292">
        <f t="shared" si="42"/>
        <v>165</v>
      </c>
      <c r="M409" s="310">
        <f t="shared" si="43"/>
        <v>963600</v>
      </c>
      <c r="N409" s="44">
        <f t="shared" si="39"/>
        <v>14.554794520547944</v>
      </c>
    </row>
    <row r="410" spans="1:14" x14ac:dyDescent="0.2">
      <c r="B410" s="292" t="s">
        <v>87</v>
      </c>
      <c r="C410" s="49">
        <v>7.9</v>
      </c>
      <c r="D410" s="74">
        <f t="shared" si="40"/>
        <v>2021</v>
      </c>
      <c r="E410" s="44">
        <f t="shared" si="36"/>
        <v>8.6708333333333343</v>
      </c>
      <c r="F410" s="44"/>
      <c r="H410" s="308">
        <f t="shared" si="41"/>
        <v>0.02</v>
      </c>
      <c r="I410" s="309">
        <f t="shared" si="37"/>
        <v>0.22411764705882375</v>
      </c>
      <c r="J410" s="44">
        <f t="shared" si="38"/>
        <v>8.6708333333333343</v>
      </c>
      <c r="L410" s="292">
        <f t="shared" si="42"/>
        <v>165</v>
      </c>
      <c r="M410" s="310">
        <f t="shared" si="43"/>
        <v>963600</v>
      </c>
      <c r="N410" s="44">
        <f t="shared" si="39"/>
        <v>17.816780821917813</v>
      </c>
    </row>
    <row r="411" spans="1:14" x14ac:dyDescent="0.2">
      <c r="A411" s="293"/>
      <c r="B411" s="292" t="s">
        <v>88</v>
      </c>
      <c r="C411" s="49">
        <v>9.75</v>
      </c>
      <c r="D411" s="74">
        <f t="shared" si="40"/>
        <v>2022</v>
      </c>
      <c r="E411" s="44">
        <f t="shared" si="36"/>
        <v>10.162500000000001</v>
      </c>
      <c r="F411" s="44"/>
      <c r="G411" s="293"/>
      <c r="H411" s="308">
        <f t="shared" si="41"/>
        <v>0.02</v>
      </c>
      <c r="I411" s="309">
        <f t="shared" si="37"/>
        <v>0.17203267659778954</v>
      </c>
      <c r="J411" s="44">
        <f t="shared" si="38"/>
        <v>10.162500000000001</v>
      </c>
      <c r="K411" s="293"/>
      <c r="L411" s="292">
        <f t="shared" si="42"/>
        <v>165</v>
      </c>
      <c r="M411" s="310">
        <f t="shared" si="43"/>
        <v>963600</v>
      </c>
      <c r="N411" s="44">
        <f t="shared" si="39"/>
        <v>20.881849315068497</v>
      </c>
    </row>
    <row r="412" spans="1:14" x14ac:dyDescent="0.2">
      <c r="A412" s="293"/>
      <c r="B412" s="292" t="s">
        <v>89</v>
      </c>
      <c r="C412" s="49">
        <v>10.74</v>
      </c>
      <c r="D412" s="74">
        <f t="shared" si="40"/>
        <v>2023</v>
      </c>
      <c r="E412" s="44">
        <f t="shared" si="36"/>
        <v>10.831666666666667</v>
      </c>
      <c r="F412" s="44"/>
      <c r="G412" s="293"/>
      <c r="H412" s="308">
        <f t="shared" si="41"/>
        <v>0.02</v>
      </c>
      <c r="I412" s="309">
        <f t="shared" si="37"/>
        <v>6.584665846658444E-2</v>
      </c>
      <c r="J412" s="44">
        <f t="shared" si="38"/>
        <v>10.831666666666667</v>
      </c>
      <c r="K412" s="293"/>
      <c r="L412" s="292">
        <f t="shared" si="42"/>
        <v>165</v>
      </c>
      <c r="M412" s="310">
        <f t="shared" si="43"/>
        <v>963600</v>
      </c>
      <c r="N412" s="44">
        <f t="shared" si="39"/>
        <v>22.256849315068497</v>
      </c>
    </row>
    <row r="413" spans="1:14" x14ac:dyDescent="0.2">
      <c r="A413" s="293"/>
      <c r="B413" s="292" t="s">
        <v>90</v>
      </c>
      <c r="C413" s="49">
        <v>10.96</v>
      </c>
      <c r="D413" s="74">
        <f t="shared" si="40"/>
        <v>2024</v>
      </c>
      <c r="E413" s="44">
        <f t="shared" si="36"/>
        <v>11.047499999999999</v>
      </c>
      <c r="F413" s="44"/>
      <c r="G413" s="293"/>
      <c r="H413" s="308">
        <f t="shared" si="41"/>
        <v>0.02</v>
      </c>
      <c r="I413" s="309">
        <f t="shared" si="37"/>
        <v>1.992614248345892E-2</v>
      </c>
      <c r="J413" s="44">
        <f t="shared" si="38"/>
        <v>11.047499999999999</v>
      </c>
      <c r="K413" s="293"/>
      <c r="L413" s="292">
        <f t="shared" si="42"/>
        <v>165</v>
      </c>
      <c r="M413" s="310">
        <f t="shared" si="43"/>
        <v>963600</v>
      </c>
      <c r="N413" s="44">
        <f t="shared" si="39"/>
        <v>22.700342465753423</v>
      </c>
    </row>
    <row r="414" spans="1:14" x14ac:dyDescent="0.2">
      <c r="A414" s="293"/>
      <c r="B414" s="292" t="s">
        <v>91</v>
      </c>
      <c r="C414" s="49">
        <v>11.17</v>
      </c>
      <c r="D414" s="74">
        <f t="shared" si="40"/>
        <v>2025</v>
      </c>
      <c r="E414" s="44">
        <f t="shared" si="36"/>
        <v>11.265833333333333</v>
      </c>
      <c r="F414" s="44"/>
      <c r="G414" s="293"/>
      <c r="H414" s="308">
        <f t="shared" si="41"/>
        <v>0.02</v>
      </c>
      <c r="I414" s="309">
        <f t="shared" si="37"/>
        <v>1.9763143999396604E-2</v>
      </c>
      <c r="J414" s="44">
        <f t="shared" si="38"/>
        <v>11.265833333333333</v>
      </c>
      <c r="K414" s="293"/>
      <c r="L414" s="292">
        <f t="shared" si="42"/>
        <v>165</v>
      </c>
      <c r="M414" s="310">
        <f t="shared" si="43"/>
        <v>963600</v>
      </c>
      <c r="N414" s="44">
        <f t="shared" si="39"/>
        <v>23.148972602739722</v>
      </c>
    </row>
    <row r="415" spans="1:14" x14ac:dyDescent="0.2">
      <c r="A415" s="293"/>
      <c r="B415" s="292" t="s">
        <v>92</v>
      </c>
      <c r="C415" s="49">
        <v>11.4</v>
      </c>
      <c r="D415" s="74">
        <f t="shared" si="40"/>
        <v>2026</v>
      </c>
      <c r="E415" s="44"/>
      <c r="F415" s="293"/>
      <c r="G415" s="293"/>
      <c r="H415" s="293"/>
      <c r="I415" s="311">
        <f>I414</f>
        <v>1.9763143999396604E-2</v>
      </c>
      <c r="J415" s="44">
        <f>J414*(1+I415)</f>
        <v>11.488481619773202</v>
      </c>
      <c r="K415" s="293"/>
      <c r="L415" s="292">
        <f t="shared" si="42"/>
        <v>165</v>
      </c>
      <c r="M415" s="310">
        <f t="shared" si="43"/>
        <v>963600</v>
      </c>
      <c r="N415" s="44">
        <f t="shared" si="39"/>
        <v>23.606469081725756</v>
      </c>
    </row>
    <row r="416" spans="1:14" x14ac:dyDescent="0.2">
      <c r="A416" s="293"/>
      <c r="B416" s="293"/>
      <c r="C416" s="49"/>
      <c r="D416" s="74">
        <f t="shared" si="40"/>
        <v>2027</v>
      </c>
      <c r="E416" s="293"/>
      <c r="F416" s="293"/>
      <c r="G416" s="293"/>
      <c r="H416" s="293"/>
      <c r="I416" s="311">
        <f t="shared" ref="I416:I429" si="44">I415</f>
        <v>1.9763143999396604E-2</v>
      </c>
      <c r="J416" s="44">
        <f t="shared" ref="J416:J429" si="45">J415*(1+I416)</f>
        <v>11.715530136359201</v>
      </c>
      <c r="K416" s="293"/>
      <c r="L416" s="292">
        <f t="shared" si="42"/>
        <v>165</v>
      </c>
      <c r="M416" s="310">
        <f t="shared" si="43"/>
        <v>963600</v>
      </c>
      <c r="N416" s="44">
        <f t="shared" si="39"/>
        <v>24.073007129505211</v>
      </c>
    </row>
    <row r="417" spans="2:14" s="293" customFormat="1" x14ac:dyDescent="0.2">
      <c r="C417" s="49"/>
      <c r="D417" s="74">
        <f t="shared" si="40"/>
        <v>2028</v>
      </c>
      <c r="I417" s="311">
        <f t="shared" si="44"/>
        <v>1.9763143999396604E-2</v>
      </c>
      <c r="J417" s="44">
        <f t="shared" si="45"/>
        <v>11.947065845473338</v>
      </c>
      <c r="L417" s="292">
        <f t="shared" si="42"/>
        <v>165</v>
      </c>
      <c r="M417" s="310">
        <f t="shared" si="43"/>
        <v>963600</v>
      </c>
      <c r="N417" s="44">
        <f t="shared" si="39"/>
        <v>24.548765435904119</v>
      </c>
    </row>
    <row r="418" spans="2:14" s="293" customFormat="1" x14ac:dyDescent="0.2">
      <c r="C418" s="49"/>
      <c r="D418" s="74">
        <f t="shared" si="40"/>
        <v>2029</v>
      </c>
      <c r="I418" s="311">
        <f t="shared" si="44"/>
        <v>1.9763143999396604E-2</v>
      </c>
      <c r="J418" s="44">
        <f t="shared" si="45"/>
        <v>12.183177428147701</v>
      </c>
      <c r="L418" s="292">
        <f t="shared" si="42"/>
        <v>165</v>
      </c>
      <c r="M418" s="310">
        <f t="shared" si="43"/>
        <v>963600</v>
      </c>
      <c r="N418" s="44">
        <f t="shared" si="39"/>
        <v>25.033926222221304</v>
      </c>
    </row>
    <row r="419" spans="2:14" s="293" customFormat="1" x14ac:dyDescent="0.2">
      <c r="B419" s="293" t="s">
        <v>93</v>
      </c>
      <c r="D419" s="74">
        <f t="shared" si="40"/>
        <v>2030</v>
      </c>
      <c r="I419" s="311">
        <f t="shared" si="44"/>
        <v>1.9763143999396604E-2</v>
      </c>
      <c r="J419" s="44">
        <f t="shared" si="45"/>
        <v>12.423955318030382</v>
      </c>
      <c r="L419" s="292">
        <f t="shared" si="42"/>
        <v>165</v>
      </c>
      <c r="M419" s="310">
        <f t="shared" si="43"/>
        <v>963600</v>
      </c>
      <c r="N419" s="44">
        <f t="shared" si="39"/>
        <v>25.528675311021331</v>
      </c>
    </row>
    <row r="420" spans="2:14" s="293" customFormat="1" x14ac:dyDescent="0.2">
      <c r="D420" s="74">
        <f t="shared" si="40"/>
        <v>2031</v>
      </c>
      <c r="I420" s="311">
        <f t="shared" si="44"/>
        <v>1.9763143999396604E-2</v>
      </c>
      <c r="J420" s="44">
        <f t="shared" si="45"/>
        <v>12.669491736022685</v>
      </c>
      <c r="L420" s="292">
        <f t="shared" si="42"/>
        <v>165</v>
      </c>
      <c r="M420" s="310">
        <f t="shared" si="43"/>
        <v>963600</v>
      </c>
      <c r="N420" s="44">
        <f t="shared" si="39"/>
        <v>26.033202197306888</v>
      </c>
    </row>
    <row r="421" spans="2:14" s="293" customFormat="1" x14ac:dyDescent="0.2">
      <c r="D421" s="74">
        <f t="shared" si="40"/>
        <v>2032</v>
      </c>
      <c r="I421" s="311">
        <f t="shared" si="44"/>
        <v>1.9763143999396604E-2</v>
      </c>
      <c r="J421" s="44">
        <f t="shared" si="45"/>
        <v>12.919880725600867</v>
      </c>
      <c r="L421" s="292">
        <f t="shared" si="42"/>
        <v>165</v>
      </c>
      <c r="M421" s="310">
        <f t="shared" si="43"/>
        <v>963600</v>
      </c>
      <c r="N421" s="44">
        <f t="shared" si="39"/>
        <v>26.547700121097673</v>
      </c>
    </row>
    <row r="422" spans="2:14" s="293" customFormat="1" x14ac:dyDescent="0.2">
      <c r="D422" s="74">
        <f t="shared" si="40"/>
        <v>2033</v>
      </c>
      <c r="I422" s="311">
        <f t="shared" si="44"/>
        <v>1.9763143999396604E-2</v>
      </c>
      <c r="J422" s="44">
        <f t="shared" si="45"/>
        <v>13.175218188835945</v>
      </c>
      <c r="L422" s="292">
        <f t="shared" si="42"/>
        <v>165</v>
      </c>
      <c r="M422" s="310">
        <f t="shared" si="43"/>
        <v>963600</v>
      </c>
      <c r="N422" s="44">
        <f t="shared" si="39"/>
        <v>27.072366141443727</v>
      </c>
    </row>
    <row r="423" spans="2:14" s="293" customFormat="1" x14ac:dyDescent="0.2">
      <c r="D423" s="74">
        <f t="shared" si="40"/>
        <v>2034</v>
      </c>
      <c r="I423" s="311">
        <f t="shared" si="44"/>
        <v>1.9763143999396604E-2</v>
      </c>
      <c r="J423" s="44">
        <f t="shared" si="45"/>
        <v>13.435601923125379</v>
      </c>
      <c r="L423" s="292">
        <f t="shared" si="42"/>
        <v>165</v>
      </c>
      <c r="M423" s="310">
        <f t="shared" si="43"/>
        <v>963600</v>
      </c>
      <c r="N423" s="44">
        <f t="shared" si="39"/>
        <v>27.607401211901468</v>
      </c>
    </row>
    <row r="424" spans="2:14" s="293" customFormat="1" x14ac:dyDescent="0.2">
      <c r="D424" s="74">
        <f t="shared" si="40"/>
        <v>2035</v>
      </c>
      <c r="I424" s="311">
        <f t="shared" si="44"/>
        <v>1.9763143999396604E-2</v>
      </c>
      <c r="J424" s="44">
        <f t="shared" si="45"/>
        <v>13.701131658650676</v>
      </c>
      <c r="L424" s="292">
        <f t="shared" si="42"/>
        <v>165</v>
      </c>
      <c r="M424" s="310">
        <f t="shared" si="43"/>
        <v>963600</v>
      </c>
      <c r="N424" s="44">
        <f t="shared" si="39"/>
        <v>28.153010257501386</v>
      </c>
    </row>
    <row r="425" spans="2:14" s="293" customFormat="1" x14ac:dyDescent="0.2">
      <c r="D425" s="74">
        <f t="shared" si="40"/>
        <v>2036</v>
      </c>
      <c r="I425" s="311">
        <f t="shared" si="44"/>
        <v>1.9763143999396604E-2</v>
      </c>
      <c r="J425" s="44">
        <f t="shared" si="45"/>
        <v>13.971909096575281</v>
      </c>
      <c r="L425" s="292">
        <f t="shared" si="42"/>
        <v>165</v>
      </c>
      <c r="M425" s="310">
        <f t="shared" si="43"/>
        <v>963600</v>
      </c>
      <c r="N425" s="44">
        <f t="shared" si="39"/>
        <v>28.709402253236881</v>
      </c>
    </row>
    <row r="426" spans="2:14" s="293" customFormat="1" x14ac:dyDescent="0.2">
      <c r="D426" s="74">
        <f t="shared" si="40"/>
        <v>2037</v>
      </c>
      <c r="I426" s="311">
        <f t="shared" si="44"/>
        <v>1.9763143999396604E-2</v>
      </c>
      <c r="J426" s="44">
        <f t="shared" si="45"/>
        <v>14.248037947997378</v>
      </c>
      <c r="L426" s="292">
        <f t="shared" si="42"/>
        <v>165</v>
      </c>
      <c r="M426" s="310">
        <f t="shared" si="43"/>
        <v>963600</v>
      </c>
      <c r="N426" s="44">
        <f t="shared" si="39"/>
        <v>29.276790304104203</v>
      </c>
    </row>
    <row r="427" spans="2:14" s="293" customFormat="1" x14ac:dyDescent="0.2">
      <c r="D427" s="74">
        <f t="shared" si="40"/>
        <v>2038</v>
      </c>
      <c r="I427" s="311">
        <f t="shared" si="44"/>
        <v>1.9763143999396604E-2</v>
      </c>
      <c r="J427" s="44">
        <f t="shared" si="45"/>
        <v>14.529623973672518</v>
      </c>
      <c r="L427" s="292">
        <f t="shared" si="42"/>
        <v>165</v>
      </c>
      <c r="M427" s="310">
        <f t="shared" si="43"/>
        <v>963600</v>
      </c>
      <c r="N427" s="44">
        <f t="shared" si="39"/>
        <v>29.855391726724353</v>
      </c>
    </row>
    <row r="428" spans="2:14" s="293" customFormat="1" x14ac:dyDescent="0.2">
      <c r="D428" s="74">
        <f t="shared" si="40"/>
        <v>2039</v>
      </c>
      <c r="I428" s="311">
        <f t="shared" si="44"/>
        <v>1.9763143999396604E-2</v>
      </c>
      <c r="J428" s="44">
        <f t="shared" si="45"/>
        <v>14.816775024521293</v>
      </c>
      <c r="L428" s="292">
        <f t="shared" si="42"/>
        <v>165</v>
      </c>
      <c r="M428" s="310">
        <f t="shared" si="43"/>
        <v>963600</v>
      </c>
      <c r="N428" s="44">
        <f t="shared" si="39"/>
        <v>30.445428132578002</v>
      </c>
    </row>
    <row r="429" spans="2:14" s="293" customFormat="1" x14ac:dyDescent="0.2">
      <c r="D429" s="74">
        <f t="shared" si="40"/>
        <v>2040</v>
      </c>
      <c r="I429" s="311">
        <f t="shared" si="44"/>
        <v>1.9763143999396604E-2</v>
      </c>
      <c r="J429" s="44">
        <f t="shared" si="45"/>
        <v>15.109601082937571</v>
      </c>
      <c r="L429" s="292">
        <f t="shared" si="42"/>
        <v>165</v>
      </c>
      <c r="M429" s="310">
        <f t="shared" si="43"/>
        <v>963600</v>
      </c>
      <c r="N429" s="44">
        <f t="shared" si="39"/>
        <v>31.047125512885419</v>
      </c>
    </row>
    <row r="430" spans="2:14" s="293" customFormat="1" x14ac:dyDescent="0.2">
      <c r="D430" s="74"/>
      <c r="I430" s="311"/>
      <c r="J430" s="44"/>
      <c r="L430" s="292"/>
      <c r="M430" s="310"/>
      <c r="N430" s="44"/>
    </row>
    <row r="431" spans="2:14" s="293" customFormat="1" x14ac:dyDescent="0.2">
      <c r="D431" s="74"/>
      <c r="I431" s="311"/>
      <c r="J431" s="44"/>
      <c r="L431" s="292"/>
      <c r="M431" s="310"/>
      <c r="N431" s="44"/>
    </row>
    <row r="432" spans="2:14" s="293" customFormat="1" x14ac:dyDescent="0.2">
      <c r="D432" s="74"/>
      <c r="I432" s="311"/>
      <c r="J432" s="44"/>
      <c r="L432" s="292"/>
      <c r="M432" s="310"/>
      <c r="N432" s="44"/>
    </row>
    <row r="433" spans="4:14" s="293" customFormat="1" x14ac:dyDescent="0.2">
      <c r="D433" s="74"/>
      <c r="I433" s="311"/>
      <c r="J433" s="44"/>
      <c r="L433" s="292"/>
      <c r="M433" s="310"/>
      <c r="N433" s="44"/>
    </row>
    <row r="434" spans="4:14" s="293" customFormat="1" x14ac:dyDescent="0.2">
      <c r="D434" s="74"/>
      <c r="I434" s="311"/>
      <c r="J434" s="44"/>
      <c r="L434" s="292"/>
      <c r="M434" s="310"/>
      <c r="N434" s="44"/>
    </row>
    <row r="435" spans="4:14" s="293" customFormat="1" x14ac:dyDescent="0.2">
      <c r="D435" s="74"/>
      <c r="I435" s="311"/>
      <c r="J435" s="44"/>
      <c r="L435" s="292"/>
      <c r="M435" s="310"/>
      <c r="N435" s="44"/>
    </row>
    <row r="436" spans="4:14" s="293" customFormat="1" x14ac:dyDescent="0.2">
      <c r="D436" s="74"/>
      <c r="I436" s="311"/>
      <c r="J436" s="44"/>
      <c r="L436" s="292"/>
      <c r="M436" s="310"/>
      <c r="N436" s="44"/>
    </row>
    <row r="437" spans="4:14" s="293" customFormat="1" x14ac:dyDescent="0.2">
      <c r="D437" s="74"/>
      <c r="I437" s="311"/>
      <c r="J437" s="44"/>
      <c r="L437" s="292"/>
      <c r="M437" s="310"/>
      <c r="N437" s="44"/>
    </row>
    <row r="438" spans="4:14" s="293" customFormat="1" x14ac:dyDescent="0.2">
      <c r="D438" s="74"/>
      <c r="I438" s="311"/>
      <c r="J438" s="44"/>
      <c r="L438" s="292"/>
      <c r="M438" s="310"/>
      <c r="N438" s="44"/>
    </row>
    <row r="439" spans="4:14" s="293" customFormat="1" x14ac:dyDescent="0.2">
      <c r="D439" s="74"/>
      <c r="I439" s="311"/>
      <c r="J439" s="44"/>
      <c r="L439" s="292"/>
      <c r="M439" s="310"/>
      <c r="N439" s="44"/>
    </row>
    <row r="440" spans="4:14" s="293" customFormat="1" x14ac:dyDescent="0.2">
      <c r="D440" s="74"/>
      <c r="I440" s="311"/>
      <c r="J440" s="44"/>
      <c r="L440" s="292"/>
      <c r="M440" s="310"/>
      <c r="N440" s="44"/>
    </row>
    <row r="441" spans="4:14" s="293" customFormat="1" x14ac:dyDescent="0.2">
      <c r="D441" s="74"/>
      <c r="I441" s="311"/>
      <c r="J441" s="44"/>
      <c r="L441" s="292"/>
      <c r="M441" s="310"/>
      <c r="N441" s="44"/>
    </row>
    <row r="442" spans="4:14" s="293" customFormat="1" x14ac:dyDescent="0.2">
      <c r="D442" s="74"/>
      <c r="I442" s="311"/>
      <c r="J442" s="44"/>
      <c r="L442" s="292"/>
      <c r="M442" s="310"/>
      <c r="N442" s="44"/>
    </row>
    <row r="443" spans="4:14" s="293" customFormat="1" x14ac:dyDescent="0.2">
      <c r="D443" s="74"/>
      <c r="I443" s="311"/>
      <c r="J443" s="44"/>
      <c r="L443" s="292"/>
      <c r="M443" s="310"/>
      <c r="N443" s="44"/>
    </row>
    <row r="444" spans="4:14" s="293" customFormat="1" x14ac:dyDescent="0.2">
      <c r="D444" s="74"/>
      <c r="I444" s="311"/>
      <c r="J444" s="44"/>
      <c r="L444" s="292"/>
      <c r="M444" s="310"/>
      <c r="N444" s="44"/>
    </row>
    <row r="445" spans="4:14" s="293" customFormat="1" x14ac:dyDescent="0.2">
      <c r="D445" s="74"/>
      <c r="I445" s="311"/>
      <c r="J445" s="44"/>
      <c r="L445" s="292"/>
      <c r="M445" s="310"/>
      <c r="N445" s="44"/>
    </row>
    <row r="446" spans="4:14" s="293" customFormat="1" x14ac:dyDescent="0.2">
      <c r="D446" s="74"/>
      <c r="I446" s="311"/>
      <c r="J446" s="44"/>
      <c r="L446" s="292"/>
      <c r="M446" s="310"/>
      <c r="N446" s="44"/>
    </row>
    <row r="447" spans="4:14" s="293" customFormat="1" x14ac:dyDescent="0.2">
      <c r="D447" s="74"/>
      <c r="I447" s="311"/>
      <c r="J447" s="44"/>
      <c r="L447" s="292"/>
      <c r="M447" s="310"/>
      <c r="N447" s="44"/>
    </row>
    <row r="448" spans="4:14" s="293" customFormat="1" x14ac:dyDescent="0.2">
      <c r="D448" s="74"/>
      <c r="I448" s="311"/>
      <c r="J448" s="44"/>
      <c r="L448" s="292"/>
      <c r="M448" s="310"/>
      <c r="N448" s="44"/>
    </row>
    <row r="449" spans="4:14" s="293" customFormat="1" x14ac:dyDescent="0.2">
      <c r="D449" s="74"/>
      <c r="I449" s="311"/>
      <c r="J449" s="44"/>
      <c r="L449" s="292"/>
      <c r="M449" s="310"/>
      <c r="N449" s="44"/>
    </row>
    <row r="450" spans="4:14" s="293" customFormat="1" x14ac:dyDescent="0.2">
      <c r="D450" s="74"/>
      <c r="I450" s="311"/>
      <c r="J450" s="44"/>
      <c r="L450" s="292"/>
      <c r="M450" s="310"/>
      <c r="N450" s="44"/>
    </row>
    <row r="451" spans="4:14" s="293" customFormat="1" x14ac:dyDescent="0.2">
      <c r="D451" s="74"/>
      <c r="I451" s="311"/>
      <c r="J451" s="44"/>
      <c r="L451" s="292"/>
      <c r="M451" s="310"/>
      <c r="N451" s="44"/>
    </row>
    <row r="452" spans="4:14" s="293" customFormat="1" x14ac:dyDescent="0.2">
      <c r="D452" s="74"/>
      <c r="I452" s="311"/>
      <c r="J452" s="44"/>
      <c r="L452" s="292"/>
      <c r="M452" s="310"/>
      <c r="N452" s="44"/>
    </row>
    <row r="453" spans="4:14" s="293" customFormat="1" x14ac:dyDescent="0.2">
      <c r="D453" s="74"/>
      <c r="I453" s="311"/>
      <c r="J453" s="44"/>
      <c r="L453" s="292"/>
      <c r="M453" s="310"/>
      <c r="N453" s="44"/>
    </row>
    <row r="454" spans="4:14" s="293" customFormat="1" x14ac:dyDescent="0.2">
      <c r="D454" s="74"/>
      <c r="I454" s="311"/>
      <c r="J454" s="44"/>
      <c r="L454" s="292"/>
      <c r="M454" s="310"/>
      <c r="N454" s="44"/>
    </row>
    <row r="455" spans="4:14" s="293" customFormat="1" x14ac:dyDescent="0.2">
      <c r="D455" s="74"/>
      <c r="I455" s="311"/>
      <c r="J455" s="44"/>
      <c r="L455" s="292"/>
      <c r="M455" s="310"/>
      <c r="N455" s="44"/>
    </row>
    <row r="456" spans="4:14" s="293" customFormat="1" x14ac:dyDescent="0.2">
      <c r="D456" s="74"/>
    </row>
    <row r="457" spans="4:14" s="293" customFormat="1" x14ac:dyDescent="0.2">
      <c r="D457" s="74">
        <v>1</v>
      </c>
      <c r="E457" s="293">
        <f>D457+1</f>
        <v>2</v>
      </c>
      <c r="F457" s="293">
        <f t="shared" ref="F457:N457" si="46">E457+1</f>
        <v>3</v>
      </c>
      <c r="G457" s="293">
        <f t="shared" si="46"/>
        <v>4</v>
      </c>
      <c r="H457" s="293">
        <f t="shared" si="46"/>
        <v>5</v>
      </c>
      <c r="I457" s="293">
        <f t="shared" si="46"/>
        <v>6</v>
      </c>
      <c r="J457" s="293">
        <f t="shared" si="46"/>
        <v>7</v>
      </c>
      <c r="K457" s="293">
        <f t="shared" si="46"/>
        <v>8</v>
      </c>
      <c r="L457" s="293">
        <f t="shared" si="46"/>
        <v>9</v>
      </c>
      <c r="M457" s="293">
        <f t="shared" si="46"/>
        <v>10</v>
      </c>
      <c r="N457" s="293">
        <f t="shared" si="46"/>
        <v>11</v>
      </c>
    </row>
    <row r="458" spans="4:14" s="293" customFormat="1" x14ac:dyDescent="0.2">
      <c r="D458" s="74"/>
    </row>
    <row r="459" spans="4:14" s="293" customFormat="1" x14ac:dyDescent="0.2">
      <c r="D459" s="74"/>
    </row>
    <row r="460" spans="4:14" s="293" customFormat="1" x14ac:dyDescent="0.2">
      <c r="D460" s="74"/>
    </row>
    <row r="461" spans="4:14" s="293" customFormat="1" x14ac:dyDescent="0.2">
      <c r="D461" s="74"/>
    </row>
    <row r="462" spans="4:14" s="293" customFormat="1" x14ac:dyDescent="0.2">
      <c r="D462" s="74"/>
    </row>
    <row r="463" spans="4:14" s="293" customFormat="1" x14ac:dyDescent="0.2">
      <c r="D463" s="74"/>
    </row>
    <row r="464" spans="4:14" s="293" customFormat="1" x14ac:dyDescent="0.2">
      <c r="D464" s="74"/>
    </row>
    <row r="465" spans="4:4" s="293" customFormat="1" x14ac:dyDescent="0.2">
      <c r="D465" s="74"/>
    </row>
    <row r="466" spans="4:4" s="293" customFormat="1" x14ac:dyDescent="0.2">
      <c r="D466" s="74"/>
    </row>
    <row r="467" spans="4:4" s="293" customFormat="1" x14ac:dyDescent="0.2">
      <c r="D467" s="74"/>
    </row>
    <row r="468" spans="4:4" s="293" customFormat="1" x14ac:dyDescent="0.2">
      <c r="D468" s="74"/>
    </row>
    <row r="469" spans="4:4" s="293" customFormat="1" x14ac:dyDescent="0.2">
      <c r="D469" s="74"/>
    </row>
    <row r="470" spans="4:4" s="293" customFormat="1" x14ac:dyDescent="0.2">
      <c r="D470" s="74"/>
    </row>
    <row r="471" spans="4:4" s="293" customFormat="1" x14ac:dyDescent="0.2">
      <c r="D471" s="74"/>
    </row>
    <row r="472" spans="4:4" s="293" customFormat="1" x14ac:dyDescent="0.2">
      <c r="D472" s="74"/>
    </row>
    <row r="473" spans="4:4" s="293" customFormat="1" x14ac:dyDescent="0.2">
      <c r="D473" s="74"/>
    </row>
    <row r="474" spans="4:4" s="293" customFormat="1" x14ac:dyDescent="0.2">
      <c r="D474" s="74"/>
    </row>
    <row r="475" spans="4:4" s="293" customFormat="1" x14ac:dyDescent="0.2">
      <c r="D475" s="74"/>
    </row>
    <row r="476" spans="4:4" s="293" customFormat="1" x14ac:dyDescent="0.2">
      <c r="D476" s="74"/>
    </row>
    <row r="477" spans="4:4" s="293" customFormat="1" x14ac:dyDescent="0.2">
      <c r="D477" s="74"/>
    </row>
    <row r="478" spans="4:4" s="293" customFormat="1" x14ac:dyDescent="0.2">
      <c r="D478" s="74"/>
    </row>
    <row r="479" spans="4:4" s="293" customFormat="1" x14ac:dyDescent="0.2">
      <c r="D479" s="74"/>
    </row>
    <row r="480" spans="4:4" s="293" customFormat="1" x14ac:dyDescent="0.2">
      <c r="D480" s="74"/>
    </row>
    <row r="481" spans="4:4" s="293" customFormat="1" x14ac:dyDescent="0.2">
      <c r="D481" s="74"/>
    </row>
    <row r="482" spans="4:4" s="293" customFormat="1" x14ac:dyDescent="0.2">
      <c r="D482" s="74"/>
    </row>
    <row r="483" spans="4:4" s="293" customFormat="1" x14ac:dyDescent="0.2">
      <c r="D483" s="74"/>
    </row>
    <row r="484" spans="4:4" s="293" customFormat="1" x14ac:dyDescent="0.2">
      <c r="D484" s="74"/>
    </row>
    <row r="485" spans="4:4" s="293" customFormat="1" x14ac:dyDescent="0.2">
      <c r="D485" s="74"/>
    </row>
    <row r="486" spans="4:4" s="293" customFormat="1" x14ac:dyDescent="0.2">
      <c r="D486" s="74"/>
    </row>
    <row r="487" spans="4:4" s="293" customFormat="1" x14ac:dyDescent="0.2">
      <c r="D487" s="74"/>
    </row>
    <row r="488" spans="4:4" s="293" customFormat="1" x14ac:dyDescent="0.2">
      <c r="D488" s="74"/>
    </row>
    <row r="489" spans="4:4" s="293" customFormat="1" x14ac:dyDescent="0.2">
      <c r="D489" s="74"/>
    </row>
    <row r="490" spans="4:4" s="293" customFormat="1" x14ac:dyDescent="0.2">
      <c r="D490" s="74"/>
    </row>
    <row r="491" spans="4:4" s="293" customFormat="1" x14ac:dyDescent="0.2"/>
    <row r="492" spans="4:4" s="293" customFormat="1" x14ac:dyDescent="0.2"/>
    <row r="493" spans="4:4" s="293" customFormat="1" x14ac:dyDescent="0.2"/>
    <row r="494" spans="4:4" s="293" customFormat="1" x14ac:dyDescent="0.2"/>
    <row r="495" spans="4:4" s="293" customFormat="1" x14ac:dyDescent="0.2"/>
    <row r="496" spans="4:4" s="293" customFormat="1" x14ac:dyDescent="0.2"/>
    <row r="497" s="293" customFormat="1" x14ac:dyDescent="0.2"/>
    <row r="498" s="293" customFormat="1" x14ac:dyDescent="0.2"/>
    <row r="499" s="293" customFormat="1" x14ac:dyDescent="0.2"/>
    <row r="500" s="293" customFormat="1" x14ac:dyDescent="0.2"/>
    <row r="501" s="293" customFormat="1" x14ac:dyDescent="0.2"/>
    <row r="502" s="293" customFormat="1" x14ac:dyDescent="0.2"/>
    <row r="503" s="293" customFormat="1" x14ac:dyDescent="0.2"/>
    <row r="504" s="293" customFormat="1" x14ac:dyDescent="0.2"/>
    <row r="505" s="293" customFormat="1" x14ac:dyDescent="0.2"/>
    <row r="506" s="293" customFormat="1" x14ac:dyDescent="0.2"/>
    <row r="507" s="293" customFormat="1" x14ac:dyDescent="0.2"/>
    <row r="508" s="293" customFormat="1" x14ac:dyDescent="0.2"/>
    <row r="509" s="293" customFormat="1" x14ac:dyDescent="0.2"/>
    <row r="510" s="293" customFormat="1" x14ac:dyDescent="0.2"/>
    <row r="511" s="293" customFormat="1" x14ac:dyDescent="0.2"/>
    <row r="512" s="293" customFormat="1" x14ac:dyDescent="0.2"/>
    <row r="513" s="293" customFormat="1" x14ac:dyDescent="0.2"/>
    <row r="514" s="293" customFormat="1" x14ac:dyDescent="0.2"/>
    <row r="515" s="293" customFormat="1" x14ac:dyDescent="0.2"/>
    <row r="516" s="293" customFormat="1" x14ac:dyDescent="0.2"/>
    <row r="517" s="293" customFormat="1" x14ac:dyDescent="0.2"/>
    <row r="518" s="293" customFormat="1" x14ac:dyDescent="0.2"/>
    <row r="519" s="293" customFormat="1" x14ac:dyDescent="0.2"/>
  </sheetData>
  <mergeCells count="7">
    <mergeCell ref="B404:N404"/>
    <mergeCell ref="B344:N344"/>
    <mergeCell ref="H1:J1"/>
    <mergeCell ref="L1:N1"/>
    <mergeCell ref="B2:F2"/>
    <mergeCell ref="H2:J2"/>
    <mergeCell ref="L2:N2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WOOD, TIM</DisplayName>
        <AccountId>77</AccountId>
        <AccountType/>
      </UserInfo>
    </Owner>
    <IR_Responder xmlns="92ec314d-4c9c-4dd9-83ac-31caef74aaef" xsi:nil="true"/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47</IR_Requester>
    <IR_Review_Sorting xmlns="92ec314d-4c9c-4dd9-83ac-31caef74aaef">completed by RA</IR_Review_Sorting>
    <IR_Subtopic xmlns="4cfd163b-bcf9-4c5a-b2fe-c1383bc133c7" xsi:nil="true"/>
    <_dlc_DocId xmlns="b4991c62-42bd-42ea-b7fe-769c41f8ce12">4PP4YDNXZNSS-11-2074</_dlc_DocId>
    <_dlc_DocIdUrl xmlns="b4991c62-42bd-42ea-b7fe-769c41f8ce12">
      <Url>http://companies.emera.com/emera/ENLReg/_layouts/DocIdRedir.aspx?ID=4PP4YDNXZNSS-11-2074</Url>
      <Description>4PP4YDNXZNSS-11-2074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A978265-5867-4073-A8AA-E7D1D8720462}"/>
</file>

<file path=customXml/itemProps2.xml><?xml version="1.0" encoding="utf-8"?>
<ds:datastoreItem xmlns:ds="http://schemas.openxmlformats.org/officeDocument/2006/customXml" ds:itemID="{084CF75B-BA92-4E54-9D0D-7E32E10EF672}"/>
</file>

<file path=customXml/itemProps3.xml><?xml version="1.0" encoding="utf-8"?>
<ds:datastoreItem xmlns:ds="http://schemas.openxmlformats.org/officeDocument/2006/customXml" ds:itemID="{9D2F3515-A051-4DED-B137-24D466631159}"/>
</file>

<file path=customXml/itemProps4.xml><?xml version="1.0" encoding="utf-8"?>
<ds:datastoreItem xmlns:ds="http://schemas.openxmlformats.org/officeDocument/2006/customXml" ds:itemID="{29DCD544-24E9-415C-9E80-D95B15CCFF32}"/>
</file>

<file path=customXml/itemProps5.xml><?xml version="1.0" encoding="utf-8"?>
<ds:datastoreItem xmlns:ds="http://schemas.openxmlformats.org/officeDocument/2006/customXml" ds:itemID="{41BE5C62-A193-471C-A2EC-93AFD8485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Inputs</vt:lpstr>
      <vt:lpstr>Rate Base Model</vt:lpstr>
      <vt:lpstr>Firm Purchase Revenue Reqmnt</vt:lpstr>
      <vt:lpstr>Surplus Energy OI Option</vt:lpstr>
      <vt:lpstr>Surplus Energy Price Summary</vt:lpstr>
      <vt:lpstr>Base Tx</vt:lpstr>
      <vt:lpstr>HQ500Adj</vt:lpstr>
      <vt:lpstr>ESAI - Q3 - Base Case</vt:lpstr>
      <vt:lpstr>ForEx</vt:lpstr>
      <vt:lpstr>'Firm Purchase Revenue Reqmnt'!Print_Area</vt:lpstr>
      <vt:lpstr>Inputs!Print_Area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MacLean-Collins, Nikki</cp:lastModifiedBy>
  <cp:lastPrinted>2013-03-08T00:33:25Z</cp:lastPrinted>
  <dcterms:created xsi:type="dcterms:W3CDTF">2012-03-24T13:30:29Z</dcterms:created>
  <dcterms:modified xsi:type="dcterms:W3CDTF">2013-03-08T00:33:47Z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48ae92f0-cf56-4733-93b7-e8564d71611f</vt:lpwstr>
  </property>
  <property fmtid="{D5CDD505-2E9C-101B-9397-08002B2CF9AE}" pid="4" name="MetadataSecurityLog">
    <vt:lpwstr>&lt;Log Date="-8588386691740055061" Reason="ItemUpdated" Error=""&gt;&lt;Rule Message="" Name="PM" /&gt;&lt;/Log&gt;</vt:lpwstr>
  </property>
  <property fmtid="{D5CDD505-2E9C-101B-9397-08002B2CF9AE}" pid="5" name="Order">
    <vt:r8>207400</vt:r8>
  </property>
</Properties>
</file>